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png" ContentType="image/png"/>
  <Override PartName="/xl/styles.xml" ContentType="application/vnd.openxmlformats-officedocument.spreadsheetml.styles+xml"/>
  <Override PartName="/xl/comments1.xml" ContentType="application/vnd.openxmlformats-officedocument.spreadsheetml.comments+xml"/>
  <Override PartName="/xl/drawings/drawing1.xml" ContentType="application/vnd.openxmlformats-officedocument.drawing+xml"/>
  <Default Extension="vml" ContentType="application/vnd.openxmlformats-officedocument.vmlDrawing"/>
  <Default Extension="bin" ContentType="application/vnd.openxmlformats-officedocument.spreadsheetml.printerSettings"/>
  <Override PartName="/xl/worksheets/sheet1.xml" ContentType="application/vnd.openxmlformats-officedocument.spreadsheetml.worksheet+xml"/>
  <Override PartName="/xl/comments2.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comments3.xml" ContentType="application/vnd.openxmlformats-officedocument.spreadsheetml.comments+xml"/>
  <Override PartName="/xl/drawings/drawing3.xml" ContentType="application/vnd.openxmlformats-officedocument.drawing+xml"/>
  <Override PartName="/xl/worksheets/sheet3.xml" ContentType="application/vnd.openxmlformats-officedocument.spreadsheetml.worksheet+xml"/>
  <Override PartName="/xl/sharedStrings.xml" ContentType="application/vnd.openxmlformats-officedocument.spreadsheetml.sharedStrings+xml"/>
  <Default Extension="wdp" ContentType="image/vnd.ms-photo"/>
  <Override PartName="/xl/calcChain.xml" ContentType="application/vnd.openxmlformats-officedocument.spreadsheetml.calcChain+xml"/>
</Types>
</file>

<file path=_rels/.rels><?xml version="1.0" encoding="UTF-8" standalone="yes"?><Relationships xmlns="http://schemas.openxmlformats.org/package/2006/relationships"><Relationship Id="rId3" Type="http://schemas.openxmlformats.org/officeDocument/2006/relationships/extended-properties" Target="docProps/app.xml" /><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4" rupBuild="9302"/>
  <workbookPr filterPrivacy="1" defaultThemeVersion="124226"/>
  <workbookProtection workbookPassword="9AF5" lockStructure="1"/>
  <bookViews>
    <workbookView xWindow="0" yWindow="0" windowWidth="28800" windowHeight="11700" activeTab="0"/>
  </bookViews>
  <sheets>
    <sheet name="سوله دو طرف شیب متقارن" sheetId="1" r:id="rId3"/>
    <sheet name="سوله دو طرف شیب نا متقارن" sheetId="2" r:id="rId4"/>
    <sheet name="سوله یک طرف شیب" sheetId="3" r:id="rId5"/>
  </sheets>
  <definedNames>
    <definedName name="_xlfn.IFERROR" hidden="1">#NAME?</definedName>
  </definedNames>
  <calcPr calcId="162913"/>
</workbook>
</file>

<file path=xl/calcChain.xml><?xml version="1.0" encoding="utf-8"?>
<calcChain xmlns="http://schemas.openxmlformats.org/spreadsheetml/2006/main">
  <c r="R128"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S5" authorId="0">
      <text>
        <r>
          <rPr>
            <b/>
            <sz val="9"/>
            <rFont val="Tahoma"/>
            <family val="2"/>
          </rPr>
          <t>در صورت وجود پنجره ها و درهای با اندازه یکسان در تمام دهانه ها این قسمت توسط کاربر وارد گردد</t>
        </r>
      </text>
    </comment>
    <comment ref="S6" authorId="0">
      <text>
        <r>
          <rPr>
            <b/>
            <sz val="9"/>
            <rFont val="Tahoma"/>
            <family val="2"/>
          </rPr>
          <t>وجود درب و پنجره = 1
عدم وجود درب و پنجره = 0</t>
        </r>
      </text>
    </comment>
    <comment ref="S9" authorId="0">
      <text>
        <r>
          <rPr>
            <b/>
            <sz val="9"/>
            <rFont val="Tahoma"/>
            <family val="2"/>
          </rPr>
          <t>برای درب ، ارتفاع اکابه برابر صفر در نظر گرفته شود</t>
        </r>
      </text>
    </comment>
    <comment ref="P11" authorId="0">
      <text>
        <r>
          <rPr>
            <b/>
            <sz val="11"/>
            <rFont val="2 Nazanin"/>
            <family val="0"/>
          </rPr>
          <t>طول شیب مقدار بیرون زدگی سقف در دو طرف</t>
        </r>
        <r>
          <rPr>
            <sz val="9"/>
            <rFont val="Tahoma"/>
            <family val="2"/>
          </rPr>
          <t xml:space="preserve"> 
</t>
        </r>
      </text>
    </comment>
    <comment ref="P12" authorId="0">
      <text>
        <r>
          <rPr>
            <b/>
            <sz val="11"/>
            <rFont val="2 Nazanin"/>
            <family val="0"/>
          </rPr>
          <t>طول مستقیم مقدار بیرون زدگی سقف از دهانه سوله</t>
        </r>
        <r>
          <rPr>
            <sz val="9"/>
            <rFont val="Tahoma"/>
            <family val="2"/>
          </rPr>
          <t xml:space="preserve">
</t>
        </r>
      </text>
    </comment>
    <comment ref="O13" authorId="0">
      <text>
        <r>
          <rPr>
            <b/>
            <sz val="9"/>
            <rFont val="Tahoma"/>
            <family val="2"/>
          </rPr>
          <t>پنل طرح آلمان = 0.945 متر
پنل طرح ایتالیا = 1.115 متر
پنل طرح ترک = 1.025 متر</t>
        </r>
      </text>
    </comment>
    <comment ref="S14" authorId="0">
      <text>
        <r>
          <rPr>
            <b/>
            <sz val="9"/>
            <rFont val="Tahoma"/>
            <family val="2"/>
          </rPr>
          <t>محل قرار گیری درب در وسط = 1
محل قرارگیری درب در کنار = 2</t>
        </r>
      </text>
    </comment>
    <comment ref="S15" authorId="0">
      <text>
        <r>
          <rPr>
            <b/>
            <sz val="9"/>
            <rFont val="Tahoma"/>
            <family val="2"/>
          </rPr>
          <t>در حالتی که درب در مرکز دیوار 1 نباشد این قسمت وارد گردد.</t>
        </r>
      </text>
    </comment>
    <comment ref="U16" authorId="0">
      <text>
        <r>
          <rPr>
            <b/>
            <sz val="9"/>
            <rFont val="Tahoma"/>
            <family val="2"/>
          </rPr>
          <t>تعداد پنل های کامل مورد نیاز برای دیوار یکطرف</t>
        </r>
        <r>
          <rPr>
            <sz val="9"/>
            <rFont val="Tahoma"/>
            <family val="2"/>
          </rPr>
          <t xml:space="preserve">
</t>
        </r>
      </text>
    </comment>
    <comment ref="U17" authorId="0">
      <text>
        <r>
          <rPr>
            <b/>
            <sz val="9"/>
            <rFont val="Tahoma"/>
            <family val="2"/>
          </rPr>
          <t>تعداد پنل های بالای پنجره ها یا درب ها</t>
        </r>
      </text>
    </comment>
    <comment ref="U18" authorId="0">
      <text>
        <r>
          <rPr>
            <b/>
            <sz val="9"/>
            <rFont val="Tahoma"/>
            <family val="2"/>
          </rPr>
          <t>تعداد پنل های زیر پنجره ها</t>
        </r>
      </text>
    </comment>
    <comment ref="U20" authorId="0">
      <text>
        <r>
          <rPr>
            <b/>
            <sz val="9"/>
            <rFont val="Tahoma"/>
            <family val="2"/>
          </rPr>
          <t>تعداد پنل هایی که ارتفاع درب از طول آن ها کم می شود .</t>
        </r>
      </text>
    </comment>
    <comment ref="T21" authorId="0">
      <text>
        <r>
          <rPr>
            <b/>
            <sz val="9"/>
            <rFont val="Tahoma"/>
            <family val="2"/>
          </rPr>
          <t>در صورت وجود درب در دیوار یک طرف سوله</t>
        </r>
      </text>
    </comment>
    <comment ref="T22" authorId="0">
      <text>
        <r>
          <rPr>
            <b/>
            <sz val="9"/>
            <rFont val="Tahoma"/>
            <family val="2"/>
          </rPr>
          <t>در صورت وجود پنجره در دیوار یک طرف سوله</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7" authorId="0">
      <text>
        <r>
          <rPr>
            <b/>
            <sz val="12"/>
            <rFont val="2 Koodak"/>
            <family val="0"/>
          </rPr>
          <t>پنل طرح آلمان = 0.945 متر
پنل طرح ایتالیا = 1.200 متر
پنل طرح ترک = 1.025 متر</t>
        </r>
        <r>
          <rPr>
            <sz val="9"/>
            <rFont val="Tahoma"/>
            <family val="2"/>
          </rPr>
          <t xml:space="preserve">
</t>
        </r>
      </text>
    </comment>
    <comment ref="B21" authorId="0">
      <text>
        <r>
          <rPr>
            <b/>
            <sz val="9"/>
            <rFont val="Tahoma"/>
            <family val="2"/>
          </rPr>
          <t>طول پنل های سمت چپ دهانه سوله</t>
        </r>
      </text>
    </comment>
    <comment ref="B22" authorId="0">
      <text>
        <r>
          <rPr>
            <b/>
            <sz val="9"/>
            <rFont val="Tahoma"/>
            <family val="2"/>
          </rPr>
          <t>طول پنل های سمت راست دهانه سوله</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R14" authorId="0">
      <text>
        <r>
          <rPr>
            <b/>
            <sz val="12"/>
            <rFont val="2 Koodak"/>
            <family val="0"/>
          </rPr>
          <t>پنل طرح آلمان = 0.945 متر
پنل طرح ایتالیا = 1.200 متر
پنل طرح ترک = 1.025 متر</t>
        </r>
        <r>
          <rPr>
            <sz val="9"/>
            <rFont val="Tahoma"/>
            <family val="2"/>
          </rPr>
          <t xml:space="preserve">
</t>
        </r>
      </text>
    </comment>
  </commentList>
</comments>
</file>

<file path=xl/sharedStrings.xml><?xml version="1.0" encoding="utf-8"?>
<sst xmlns="http://schemas.openxmlformats.org/spreadsheetml/2006/main" count="186" uniqueCount="118">
  <si>
    <t>ارتفاع تاج سوله (متر)</t>
  </si>
  <si>
    <t>عرض پنل دیواری (متر)</t>
  </si>
  <si>
    <t>طول سوله  (متر)</t>
  </si>
  <si>
    <t>مساحت پنل مورد نیاز دیوار 1 (متر مربع)</t>
  </si>
  <si>
    <t>مساحت پنل مورد نیاز دیوار 2 (متر مربع)</t>
  </si>
  <si>
    <t>تعداد پنل کامل دیوار 2</t>
  </si>
  <si>
    <t>تعداد کل پنل مورد نیاز دیوار 2</t>
  </si>
  <si>
    <t>تعداد کل پنل مورد نیاز دیوار 1</t>
  </si>
  <si>
    <t>عرض پنل نیمه انتهایی دیوار 2 (متر)</t>
  </si>
  <si>
    <t>طول کنسول طرفین  (متر)</t>
  </si>
  <si>
    <t>طول کنسول عقب و جلو  (متر)</t>
  </si>
  <si>
    <t>کاهش طول پنل برای تعبیه آبرو  (متر)</t>
  </si>
  <si>
    <t>تعداد پنل کامل در یک طرف شیب</t>
  </si>
  <si>
    <t>عرض پنل سقفی (متر)</t>
  </si>
  <si>
    <t>عرض پنل نیمه انتهایی  سقف (متر)</t>
  </si>
  <si>
    <t>نرم افزار محاسبه پنل های  سوله</t>
  </si>
  <si>
    <t>ســـــولـــه دو طرف شیب متقارن</t>
  </si>
  <si>
    <t>ســـــولـــه دو طرف شیب نا متقارن</t>
  </si>
  <si>
    <t>درصد شیب سمت چپ</t>
  </si>
  <si>
    <t>درصد شیب سمت راست</t>
  </si>
  <si>
    <t>تعداد پنل کامل دیوار 1</t>
  </si>
  <si>
    <t>عرض پنل نیمه  انتهای دیوار 1 (متر)</t>
  </si>
  <si>
    <t>تعداد پنل دیوار 2</t>
  </si>
  <si>
    <t>مساحت پنل مورد نیاز دیوار 2 چپ(متر مربع)</t>
  </si>
  <si>
    <t>مساحت پنل مورد نیاز دیوار 2 راست(متر مربع)</t>
  </si>
  <si>
    <t>طول پنل سقف شیب سمت چپ (متر)</t>
  </si>
  <si>
    <t>طول پنل سقف شیب سمت راست (متر)</t>
  </si>
  <si>
    <t>مساحت پنل مورد نیاز دو طرف شیب (متر مربع)</t>
  </si>
  <si>
    <t>عرض پنل نیمه انتهای دیوار 1 (متر)</t>
  </si>
  <si>
    <t>طول پنل سقف شیب دار (متر)</t>
  </si>
  <si>
    <t>مساحت پنل مورد نیاز دیوار 2 کوتاهتر (متر مربع)</t>
  </si>
  <si>
    <t>مساحت پنل مورد نیاز دیوار 2 بلندتر (متر مربع)</t>
  </si>
  <si>
    <t>درصد شیب سقف</t>
  </si>
  <si>
    <t>تعداد کل پنل مورد نیاز سقف شیب دار</t>
  </si>
  <si>
    <t>مساحت پنل مورد نیاز سقف شیب دار (متر مربع)</t>
  </si>
  <si>
    <t>ســـــولـــه یک طرف شیب</t>
  </si>
  <si>
    <t>تعداد پنل مورد نیاز دیوار 1</t>
  </si>
  <si>
    <t>تعداد پنل مورد نیاز دیوار 2 در دو طرف</t>
  </si>
  <si>
    <t>تعداد مورد نیاز</t>
  </si>
  <si>
    <t>طول پنل های دیوار 1</t>
  </si>
  <si>
    <t>عرض سوله (متر)</t>
  </si>
  <si>
    <r>
      <t xml:space="preserve">آریا بارون توس </t>
    </r>
    <r>
      <rPr>
        <sz val="10"/>
        <color theme="3" tint="-0.4999699890613556"/>
        <rFont val="2 Homa"/>
        <family val="0"/>
      </rPr>
      <t>(واحد طراحی)</t>
    </r>
  </si>
  <si>
    <t>مساحت پنل مورد نیاز سقف (متر مربع)</t>
  </si>
  <si>
    <t>عرض پنل برش خورده انتهای دیوار 2 (متر)</t>
  </si>
  <si>
    <t>عرض پنل برش خورده انتهای  سقف (متر)</t>
  </si>
  <si>
    <t>عرض پنل برش خورده دو طرف دیوار 1 (متر)</t>
  </si>
  <si>
    <t>تعداد کل پنل مورد نیاز دوطرف دیوار 2</t>
  </si>
  <si>
    <t>فاصله افقی تاج سوله تا کناره چپ (متر)</t>
  </si>
  <si>
    <t>فاصله افقی تاج سوله تا کناره راست (متر)</t>
  </si>
  <si>
    <t>طول پنل های سمت چپ</t>
  </si>
  <si>
    <t>طول پنل های سمت راست</t>
  </si>
  <si>
    <t>طول کنسول طرفین (متر)</t>
  </si>
  <si>
    <t>kamel</t>
  </si>
  <si>
    <t>nime</t>
  </si>
  <si>
    <t>sum</t>
  </si>
  <si>
    <t>مساحت پنل های دیوار 2 با احتساب پنجره ها</t>
  </si>
  <si>
    <t>فاصله دو قاب متوالی (متر)</t>
  </si>
  <si>
    <t>1st</t>
  </si>
  <si>
    <t>2nd</t>
  </si>
  <si>
    <t>عدد پنل زیر پنجره به طول(متر)</t>
  </si>
  <si>
    <t>عدد پنل کامل برای دیوار 1</t>
  </si>
  <si>
    <t>جزییات قرار گیری دربها و پنجره ها ، در صورت وجود</t>
  </si>
  <si>
    <t>عدد پنل بالای پنجره - درب به طول(متر)</t>
  </si>
  <si>
    <t>شماره پنل بالای درب ، از وسط - دیوار 1</t>
  </si>
  <si>
    <t>عدد پنل بالای درب برای دیوار 1</t>
  </si>
  <si>
    <t>فاصله پنجره یا درب از ستون (متر)</t>
  </si>
  <si>
    <t>تعداد دهانه های سوله</t>
  </si>
  <si>
    <t>مساحت کل پنل های دیواری (متر مربع)</t>
  </si>
  <si>
    <t>تعداد پنل مورد نیاز در دو طرف شیب</t>
  </si>
  <si>
    <t>فاصله درب از  وسط (درب های کناری) (متر)</t>
  </si>
  <si>
    <t>قاب</t>
  </si>
  <si>
    <t>ارتفاع شانه سوله (متر)</t>
  </si>
  <si>
    <t>آیا درب و پنجره وجود دارد ؟</t>
  </si>
  <si>
    <t>درب وسط</t>
  </si>
  <si>
    <t>درب کناری</t>
  </si>
  <si>
    <t>نهایی</t>
  </si>
  <si>
    <t>عدد پنل برای دیوار 2 به طول(متر)</t>
  </si>
  <si>
    <r>
      <t xml:space="preserve">ارتفاع اکابه پنجره - درب (دیوار </t>
    </r>
    <r>
      <rPr>
        <b/>
        <u val="single"/>
        <sz val="11"/>
        <color theme="3" tint="-0.4999699890613556"/>
        <rFont val="2 Nazanin"/>
        <family val="0"/>
      </rPr>
      <t>2</t>
    </r>
    <r>
      <rPr>
        <b/>
        <sz val="11"/>
        <color theme="3" tint="-0.4999699890613556"/>
        <rFont val="2 Nazanin"/>
        <family val="0"/>
      </rPr>
      <t xml:space="preserve"> )(متر)</t>
    </r>
  </si>
  <si>
    <r>
      <t xml:space="preserve">عرض پنجره - درب  (دیوار </t>
    </r>
    <r>
      <rPr>
        <b/>
        <u val="single"/>
        <sz val="11"/>
        <color theme="3" tint="-0.4999699890613556"/>
        <rFont val="2 Nazanin"/>
        <family val="0"/>
      </rPr>
      <t>2</t>
    </r>
    <r>
      <rPr>
        <b/>
        <sz val="11"/>
        <color theme="3" tint="-0.4999699890613556"/>
        <rFont val="2 Nazanin"/>
        <family val="0"/>
      </rPr>
      <t xml:space="preserve"> )(متر)</t>
    </r>
  </si>
  <si>
    <r>
      <t xml:space="preserve">ارتفاع پنجره - درب  (دیوار </t>
    </r>
    <r>
      <rPr>
        <b/>
        <u val="single"/>
        <sz val="11"/>
        <color theme="3" tint="-0.4999699890613556"/>
        <rFont val="2 Nazanin"/>
        <family val="0"/>
      </rPr>
      <t>2</t>
    </r>
    <r>
      <rPr>
        <b/>
        <sz val="11"/>
        <color theme="3" tint="-0.4999699890613556"/>
        <rFont val="2 Nazanin"/>
        <family val="0"/>
      </rPr>
      <t xml:space="preserve"> )(متر)</t>
    </r>
  </si>
  <si>
    <r>
      <t xml:space="preserve">عرض درب  (دیوار </t>
    </r>
    <r>
      <rPr>
        <b/>
        <u val="single"/>
        <sz val="11"/>
        <color theme="3" tint="-0.4999699890613556"/>
        <rFont val="2 Nazanin"/>
        <family val="0"/>
      </rPr>
      <t>1</t>
    </r>
    <r>
      <rPr>
        <b/>
        <sz val="11"/>
        <color theme="3" tint="-0.4999699890613556"/>
        <rFont val="2 Nazanin"/>
        <family val="0"/>
      </rPr>
      <t xml:space="preserve"> )(متر)</t>
    </r>
  </si>
  <si>
    <r>
      <t xml:space="preserve">ارتفاع درب  (دیوار </t>
    </r>
    <r>
      <rPr>
        <b/>
        <u val="single"/>
        <sz val="11"/>
        <color theme="3" tint="-0.4999699890613556"/>
        <rFont val="2 Nazanin"/>
        <family val="0"/>
      </rPr>
      <t>1</t>
    </r>
    <r>
      <rPr>
        <b/>
        <sz val="11"/>
        <color theme="3" tint="-0.4999699890613556"/>
        <rFont val="2 Nazanin"/>
        <family val="0"/>
      </rPr>
      <t xml:space="preserve"> )(متر)</t>
    </r>
  </si>
  <si>
    <r>
      <t xml:space="preserve">محل قرار گیری درب (دیوار </t>
    </r>
    <r>
      <rPr>
        <b/>
        <u val="single"/>
        <sz val="11"/>
        <color theme="3" tint="-0.4999699890613556"/>
        <rFont val="2 Nazanin"/>
        <family val="0"/>
      </rPr>
      <t>1</t>
    </r>
    <r>
      <rPr>
        <b/>
        <sz val="11"/>
        <color theme="3" tint="-0.4999699890613556"/>
        <rFont val="2 Nazanin"/>
        <family val="0"/>
      </rPr>
      <t xml:space="preserve"> ) ؟</t>
    </r>
  </si>
  <si>
    <t>مساحت پنل های دیوار 1 با احتساب درب</t>
  </si>
  <si>
    <t>شیب سقف (درصد)</t>
  </si>
  <si>
    <t>طول پنل های سقفی (متر)</t>
  </si>
  <si>
    <t>قیمت هر متر مربع پنل دیواری</t>
  </si>
  <si>
    <t>قیمت هر متر مربع پنل سقفی</t>
  </si>
  <si>
    <t>قیمت کل پنل های دیواری مورد نیاز</t>
  </si>
  <si>
    <t>قیمت کل پنل های سقفی مورد نیاز</t>
  </si>
  <si>
    <t>راهنمایی</t>
  </si>
  <si>
    <t>www.ARYABARON.COM</t>
  </si>
  <si>
    <t>آبی</t>
  </si>
  <si>
    <t>ابعاد سوله و اطلاعاتی که کاربر باید وارد نماید</t>
  </si>
  <si>
    <t>سبز</t>
  </si>
  <si>
    <t>قرمز</t>
  </si>
  <si>
    <t>نارنجی</t>
  </si>
  <si>
    <t>محاسبات پنل های دیواری</t>
  </si>
  <si>
    <t>محاسبات پنل های سقفی</t>
  </si>
  <si>
    <t>ابعاد و تعداد پنل های دیواری دهانه سوله</t>
  </si>
  <si>
    <t>صورتی</t>
  </si>
  <si>
    <t>بنفش</t>
  </si>
  <si>
    <t>زرد</t>
  </si>
  <si>
    <t>ابعاد درب و پنجره ها ( در صورت وجود ، این قسمت تکمیل گردد)</t>
  </si>
  <si>
    <t>ابعاد پنل ها در صورت وجود درب و پنجره</t>
  </si>
  <si>
    <t>محاسبه قیمت کل پنل های دیواری و سقفی</t>
  </si>
  <si>
    <t>داده های خروجی (محاسبات)</t>
  </si>
  <si>
    <t>داده های ورودی (توسط کاربر وارد گردد)</t>
  </si>
  <si>
    <t>داده های ورودی (متر) (توسط کاربر وارد گردد)</t>
  </si>
  <si>
    <t>ارتفاع شانه سمت چپ سوله (متر)</t>
  </si>
  <si>
    <t>ارتفاع شانه سمت راست سوله (متر)</t>
  </si>
  <si>
    <t>ارتفاع شانه کوتاهتر سوله (متر)</t>
  </si>
  <si>
    <t>ارتفاع تاج (شانه بلندتر) سوله (متر)</t>
  </si>
  <si>
    <t>حالت پنل چینی</t>
  </si>
  <si>
    <r>
      <t xml:space="preserve">جهت دریافت فایل راهنمای نرم افزار محاسبه پنل های سوله و همچنین کسب اطلاعات بیشتر همواره می توانید به نشانی اینترنتی </t>
    </r>
    <r>
      <rPr>
        <b/>
        <u val="single"/>
        <sz val="14"/>
        <color rgb="FFC00000"/>
        <rFont val="Arial"/>
        <family val="2"/>
      </rPr>
      <t>WWW.ARYABARON.COM</t>
    </r>
    <r>
      <rPr>
        <b/>
        <sz val="14"/>
        <color rgb="FF1C03B5"/>
        <rFont val="2 Nazanin"/>
        <family val="0"/>
      </rPr>
      <t xml:space="preserve"> مراجعه فرمایید .</t>
    </r>
  </si>
  <si>
    <r>
      <rPr>
        <b/>
        <u val="single"/>
        <sz val="15"/>
        <color rgb="FFFF0000"/>
        <rFont val="2 Nazanin"/>
        <family val="0"/>
      </rPr>
      <t>توضیحات :</t>
    </r>
    <r>
      <rPr>
        <b/>
        <u val="single"/>
        <sz val="14"/>
        <color rgb="FFFF0000"/>
        <rFont val="2 Nazanin"/>
        <family val="0"/>
      </rPr>
      <t xml:space="preserve"> </t>
    </r>
    <r>
      <rPr>
        <b/>
        <sz val="12"/>
        <color theme="1"/>
        <rFont val="2 Nazanin"/>
        <family val="0"/>
      </rPr>
      <t xml:space="preserve">جهت کاهش حداکثری مقدار دور ریز پنل نرم افزار از دو حالت پنل چینی در دهانه سوله استفاده می نماید که با توجه به ابعاد های مختلف دهانه سوله ها به صورت اتوماتیک توسط نرم افزار انتخاب می شود . در حالت اول شروع پنل چینی از وسط دهانه سوله بوده به این صورت که از آکس وسط دهانه یک پنل در سمت چپ و یک پنل در سمت راست قرار گرفته و به صورت متقارن در دو سمت نصب می شود . در حالت دوم یک پنل ابتدا در وسط دهانه قرار داده شده به این صورت که نصف پنل سمت چپ آکس وسط دهانه سوله و نصف پنل سمت راست می باشد و سایر پنل ها به صورت متقارن در دو سمت نصب می شود .
همچنین طول پنل ها ( سقف و دیوار ) به علت مشکلات حمل و نقل نمی تواند از  13.5  متر بیشتر انتخاب شود که در صورت ایجاد چنین مشکلی نرم افزار  به کاربر اطلاع می دهد و در این صورت کاربر باید طول پنل محاسبه شده را دو قسمت کرده و بعلاوه 20 سانتیمتر اورلب برای یک قسمت نماید .     
</t>
    </r>
  </si>
  <si>
    <t>Designed By : Ahmad Mashhadi Email:a.mashhadi68@gmail.com Mobile:09369928945</t>
  </si>
  <si>
    <t>Tel: (+98)51 36 22 88 00-02</t>
  </si>
</sst>
</file>

<file path=xl/styles.xml><?xml version="1.0" encoding="utf-8"?>
<styleSheet xmlns="http://schemas.openxmlformats.org/spreadsheetml/2006/main">
  <numFmts count="1">
    <numFmt numFmtId="164" formatCode="[$ريال-429]#,##0_-"/>
  </numFmts>
  <fonts count="53">
    <font>
      <sz val="11"/>
      <color theme="1"/>
      <name val="Arial"/>
      <family val="2"/>
      <scheme val="minor"/>
    </font>
    <font>
      <sz val="10"/>
      <color theme="1"/>
      <name val="Arial"/>
      <family val="2"/>
    </font>
    <font>
      <sz val="11"/>
      <color theme="0"/>
      <name val="Arial"/>
      <family val="2"/>
      <scheme val="minor"/>
    </font>
    <font>
      <sz val="16"/>
      <color theme="1"/>
      <name val="2 Homa"/>
      <family val="0"/>
    </font>
    <font>
      <b/>
      <sz val="11"/>
      <color theme="1"/>
      <name val="2 Nazanin"/>
      <family val="0"/>
    </font>
    <font>
      <b/>
      <sz val="10"/>
      <color theme="1"/>
      <name val="2 Nazanin"/>
      <family val="0"/>
    </font>
    <font>
      <sz val="9"/>
      <name val="Tahoma"/>
      <family val="2"/>
    </font>
    <font>
      <b/>
      <sz val="12"/>
      <name val="2 Koodak"/>
      <family val="0"/>
    </font>
    <font>
      <sz val="11"/>
      <name val="Arial"/>
      <family val="2"/>
      <scheme val="minor"/>
    </font>
    <font>
      <b/>
      <sz val="10"/>
      <color rgb="FFFF0000"/>
      <name val="B Nazanin"/>
      <family val="0"/>
      <charset val="178"/>
    </font>
    <font>
      <b/>
      <sz val="11"/>
      <color rgb="FFFF0000"/>
      <name val="B Nazanin"/>
      <family val="0"/>
      <charset val="178"/>
    </font>
    <font>
      <b/>
      <sz val="8"/>
      <color rgb="FFFF0000"/>
      <name val="B Nazanin"/>
      <family val="0"/>
      <charset val="178"/>
    </font>
    <font>
      <b/>
      <sz val="12"/>
      <color rgb="FFFF0000"/>
      <name val="B Nazanin"/>
      <family val="0"/>
      <charset val="178"/>
    </font>
    <font>
      <b/>
      <sz val="11"/>
      <color theme="1" tint="0.24998000264167786"/>
      <name val="Arial"/>
      <family val="2"/>
      <scheme val="minor"/>
    </font>
    <font>
      <b/>
      <sz val="11"/>
      <color rgb="FFC00000"/>
      <name val="B Nazanin"/>
      <family val="0"/>
      <charset val="178"/>
    </font>
    <font>
      <b/>
      <sz val="11"/>
      <color theme="3" tint="-0.4999699890613556"/>
      <name val="Arial"/>
      <family val="2"/>
      <scheme val="minor"/>
    </font>
    <font>
      <sz val="16"/>
      <color theme="3" tint="-0.4999699890613556"/>
      <name val="B Titr"/>
      <family val="0"/>
      <charset val="178"/>
    </font>
    <font>
      <sz val="11"/>
      <color theme="3" tint="-0.4999699890613556"/>
      <name val="Arial"/>
      <family val="2"/>
      <scheme val="minor"/>
    </font>
    <font>
      <b/>
      <sz val="18"/>
      <color theme="3" tint="-0.4999699890613556"/>
      <name val="2 Nazanin"/>
      <family val="0"/>
    </font>
    <font>
      <b/>
      <sz val="11"/>
      <color theme="3" tint="-0.4999699890613556"/>
      <name val="2 Nazanin"/>
      <family val="0"/>
    </font>
    <font>
      <sz val="14"/>
      <color theme="3" tint="-0.4999699890613556"/>
      <name val="2 Homa"/>
      <family val="0"/>
    </font>
    <font>
      <sz val="10"/>
      <color theme="3" tint="-0.4999699890613556"/>
      <name val="2 Homa"/>
      <family val="0"/>
    </font>
    <font>
      <b/>
      <sz val="10"/>
      <color theme="3" tint="-0.4999699890613556"/>
      <name val="2 Nazanin"/>
      <family val="0"/>
    </font>
    <font>
      <b/>
      <sz val="14"/>
      <color theme="4" tint="0.7999799847602844"/>
      <name val="Arial"/>
      <family val="2"/>
      <scheme val="minor"/>
    </font>
    <font>
      <b/>
      <sz val="9"/>
      <color rgb="FFC00000"/>
      <name val="B Nazanin"/>
      <family val="0"/>
      <charset val="178"/>
    </font>
    <font>
      <b/>
      <sz val="12"/>
      <color rgb="FFC00000"/>
      <name val="B Nazanin"/>
      <family val="0"/>
      <charset val="178"/>
    </font>
    <font>
      <b/>
      <sz val="9"/>
      <color theme="3" tint="-0.4999699890613556"/>
      <name val="2 Nazanin"/>
      <family val="0"/>
    </font>
    <font>
      <b/>
      <sz val="11"/>
      <color theme="1" tint="0.15000000596046448"/>
      <name val="Arial"/>
      <family val="2"/>
      <scheme val="minor"/>
    </font>
    <font>
      <b/>
      <sz val="9"/>
      <name val="Tahoma"/>
      <family val="2"/>
    </font>
    <font>
      <b/>
      <sz val="20"/>
      <color theme="3" tint="-0.4999699890613556"/>
      <name val="2 Nazanin"/>
      <family val="0"/>
    </font>
    <font>
      <sz val="20"/>
      <color theme="3" tint="-0.4999699890613556"/>
      <name val="B Titr"/>
      <family val="0"/>
      <charset val="178"/>
    </font>
    <font>
      <b/>
      <u val="single"/>
      <sz val="11"/>
      <color theme="3" tint="-0.4999699890613556"/>
      <name val="2 Nazanin"/>
      <family val="0"/>
    </font>
    <font>
      <b/>
      <sz val="10"/>
      <color theme="0"/>
      <name val="2 Nazanin"/>
      <family val="0"/>
    </font>
    <font>
      <sz val="11"/>
      <color theme="0" tint="-0.04997999966144562"/>
      <name val="Arial"/>
      <family val="2"/>
      <scheme val="minor"/>
    </font>
    <font>
      <b/>
      <sz val="14"/>
      <color rgb="FF002E01"/>
      <name val="Arial"/>
      <family val="2"/>
      <scheme val="minor"/>
    </font>
    <font>
      <b/>
      <sz val="14"/>
      <color rgb="FF360000"/>
      <name val="Arial"/>
      <family val="2"/>
      <scheme val="minor"/>
    </font>
    <font>
      <b/>
      <sz val="11"/>
      <color rgb="FFC00000"/>
      <name val="2 Nazanin"/>
      <family val="0"/>
    </font>
    <font>
      <sz val="11"/>
      <color rgb="FFFF0000"/>
      <name val="Arial"/>
      <family val="2"/>
      <scheme val="minor"/>
    </font>
    <font>
      <b/>
      <sz val="12"/>
      <color rgb="FF360000"/>
      <name val="B Nazanin"/>
      <family val="0"/>
      <charset val="178"/>
    </font>
    <font>
      <sz val="11"/>
      <color rgb="FF360000"/>
      <name val="Arial"/>
      <family val="2"/>
      <scheme val="minor"/>
    </font>
    <font>
      <b/>
      <sz val="11"/>
      <color rgb="FF360000"/>
      <name val="Arial"/>
      <family val="2"/>
      <scheme val="minor"/>
    </font>
    <font>
      <b/>
      <sz val="11"/>
      <color theme="9" tint="-0.4999699890613556"/>
      <name val="Arial"/>
      <family val="2"/>
      <scheme val="minor"/>
    </font>
    <font>
      <b/>
      <sz val="16"/>
      <color rgb="FF360000"/>
      <name val="B Nazanin"/>
      <family val="0"/>
      <charset val="178"/>
    </font>
    <font>
      <b/>
      <sz val="12"/>
      <color rgb="FF360000"/>
      <name val="Arial"/>
      <family val="2"/>
      <scheme val="minor"/>
    </font>
    <font>
      <sz val="12"/>
      <color rgb="FF360000"/>
      <name val="Arial"/>
      <family val="2"/>
      <scheme val="minor"/>
    </font>
    <font>
      <b/>
      <sz val="12"/>
      <color theme="1" tint="0.04998999834060669"/>
      <name val="2 Nazanin"/>
      <family val="0"/>
    </font>
    <font>
      <b/>
      <sz val="12"/>
      <color theme="1"/>
      <name val="2 Nazanin"/>
      <family val="0"/>
    </font>
    <font>
      <sz val="12"/>
      <color theme="0" tint="-0.04997999966144562"/>
      <name val="Arial"/>
      <family val="2"/>
      <scheme val="minor"/>
    </font>
    <font>
      <b/>
      <u val="single"/>
      <sz val="14"/>
      <color rgb="FFFF0000"/>
      <name val="2 Nazanin"/>
      <family val="0"/>
    </font>
    <font>
      <b/>
      <sz val="11"/>
      <name val="2 Nazanin"/>
      <family val="0"/>
    </font>
    <font>
      <b/>
      <sz val="14"/>
      <color rgb="FF1C03B5"/>
      <name val="2 Nazanin"/>
      <family val="0"/>
    </font>
    <font>
      <b/>
      <u val="single"/>
      <sz val="14"/>
      <color rgb="FFC00000"/>
      <name val="Arial"/>
      <family val="2"/>
    </font>
    <font>
      <b/>
      <u val="single"/>
      <sz val="15"/>
      <color rgb="FFFF0000"/>
      <name val="2 Nazanin"/>
      <family val="0"/>
    </font>
  </fonts>
  <fills count="25">
    <fill>
      <patternFill patternType="none"/>
    </fill>
    <fill>
      <patternFill patternType="gray125"/>
    </fill>
    <fill>
      <patternFill patternType="solid">
        <fgColor theme="0" tint="-0.04997999966144562"/>
        <bgColor indexed="64"/>
      </patternFill>
    </fill>
    <fill>
      <patternFill patternType="solid">
        <fgColor theme="8" tint="-0.24997000396251678"/>
        <bgColor indexed="64"/>
      </patternFill>
    </fill>
    <fill>
      <patternFill patternType="solid">
        <fgColor rgb="FFE3D5B8"/>
        <bgColor indexed="64"/>
      </patternFill>
    </fill>
    <fill>
      <patternFill patternType="solid">
        <fgColor theme="8" tint="0.7999799847602844"/>
        <bgColor indexed="64"/>
      </patternFill>
    </fill>
    <fill>
      <patternFill patternType="solid">
        <fgColor theme="1"/>
        <bgColor indexed="64"/>
      </patternFill>
    </fill>
    <fill>
      <patternFill patternType="solid">
        <fgColor theme="5" tint="-0.24997000396251678"/>
        <bgColor indexed="64"/>
      </patternFill>
    </fill>
    <fill>
      <patternFill patternType="solid">
        <fgColor theme="6" tint="-0.24997000396251678"/>
        <bgColor indexed="64"/>
      </patternFill>
    </fill>
    <fill>
      <patternFill patternType="solid">
        <fgColor theme="7" tint="0.39998000860214233"/>
        <bgColor indexed="64"/>
      </patternFill>
    </fill>
    <fill>
      <patternFill patternType="solid">
        <fgColor theme="7" tint="-0.24997000396251678"/>
        <bgColor indexed="64"/>
      </patternFill>
    </fill>
    <fill>
      <patternFill patternType="solid">
        <fgColor theme="0" tint="-0.24997000396251678"/>
        <bgColor indexed="64"/>
      </patternFill>
    </fill>
    <fill>
      <patternFill patternType="solid">
        <fgColor rgb="FFFEE2ED"/>
        <bgColor indexed="64"/>
      </patternFill>
    </fill>
    <fill>
      <patternFill patternType="solid">
        <fgColor rgb="FFFDA9C9"/>
        <bgColor indexed="64"/>
      </patternFill>
    </fill>
    <fill>
      <patternFill patternType="solid">
        <fgColor theme="4" tint="0.39998000860214233"/>
        <bgColor indexed="64"/>
      </patternFill>
    </fill>
    <fill>
      <patternFill patternType="solid">
        <fgColor rgb="FFFF9933"/>
        <bgColor indexed="64"/>
      </patternFill>
    </fill>
    <fill>
      <patternFill patternType="solid">
        <fgColor theme="9" tint="0.39998000860214233"/>
        <bgColor indexed="64"/>
      </patternFill>
    </fill>
    <fill>
      <patternFill patternType="solid">
        <fgColor rgb="FFECB52C"/>
        <bgColor indexed="64"/>
      </patternFill>
    </fill>
    <fill>
      <patternFill patternType="solid">
        <fgColor rgb="FF82600C"/>
        <bgColor indexed="64"/>
      </patternFill>
    </fill>
    <fill>
      <patternFill patternType="solid">
        <fgColor theme="6" tint="0.5999900102615356"/>
        <bgColor indexed="64"/>
      </patternFill>
    </fill>
    <fill>
      <patternFill patternType="solid">
        <fgColor theme="0" tint="-0.1499900072813034"/>
        <bgColor indexed="64"/>
      </patternFill>
    </fill>
    <fill>
      <patternFill patternType="solid">
        <fgColor theme="4" tint="0.5999900102615356"/>
        <bgColor indexed="64"/>
      </patternFill>
    </fill>
    <fill>
      <patternFill patternType="solid">
        <fgColor rgb="FFFF6565"/>
        <bgColor indexed="64"/>
      </patternFill>
    </fill>
    <fill>
      <patternFill patternType="solid">
        <fgColor theme="9" tint="0.7999799847602844"/>
        <bgColor indexed="64"/>
      </patternFill>
    </fill>
    <fill>
      <patternFill patternType="solid">
        <fgColor theme="2" tint="-0.24997000396251678"/>
        <bgColor indexed="64"/>
      </patternFill>
    </fill>
  </fills>
  <borders count="62">
    <border>
      <left/>
      <right/>
      <top/>
      <bottom/>
      <diagonal/>
    </border>
    <border>
      <left style="thick">
        <color auto="1"/>
      </left>
      <right style="medium">
        <color auto="1"/>
      </right>
      <top style="medium">
        <color auto="1"/>
      </top>
      <bottom style="medium">
        <color auto="1"/>
      </bottom>
    </border>
    <border>
      <left style="thick">
        <color auto="1"/>
      </left>
      <right style="medium">
        <color auto="1"/>
      </right>
      <top style="medium">
        <color auto="1"/>
      </top>
      <bottom style="thick">
        <color auto="1"/>
      </bottom>
    </border>
    <border>
      <left/>
      <right style="medium">
        <color auto="1"/>
      </right>
      <top style="medium">
        <color auto="1"/>
      </top>
      <bottom/>
    </border>
    <border>
      <left style="thick">
        <color auto="1"/>
      </left>
      <right style="medium">
        <color auto="1"/>
      </right>
      <top style="medium">
        <color auto="1"/>
      </top>
      <bottom/>
    </border>
    <border>
      <left style="thick">
        <color auto="1"/>
      </left>
      <right style="medium">
        <color auto="1"/>
      </right>
      <top style="thick">
        <color auto="1"/>
      </top>
      <bottom style="medium">
        <color auto="1"/>
      </bottom>
    </border>
    <border>
      <left/>
      <right/>
      <top style="medium">
        <color auto="1"/>
      </top>
      <bottom style="medium">
        <color auto="1"/>
      </bottom>
    </border>
    <border>
      <left style="medium">
        <color auto="1"/>
      </left>
      <right style="medium">
        <color auto="1"/>
      </right>
      <top style="thick">
        <color auto="1"/>
      </top>
      <bottom/>
    </border>
    <border>
      <left style="medium">
        <color auto="1"/>
      </left>
      <right style="medium">
        <color auto="1"/>
      </right>
      <top style="medium">
        <color auto="1"/>
      </top>
      <bottom style="thick">
        <color auto="1"/>
      </bottom>
    </border>
    <border>
      <left style="medium">
        <color auto="1"/>
      </left>
      <right style="thick">
        <color auto="1"/>
      </right>
      <top style="medium">
        <color auto="1"/>
      </top>
      <bottom style="thick">
        <color auto="1"/>
      </bottom>
    </border>
    <border>
      <left style="medium">
        <color auto="1"/>
      </left>
      <right style="thick">
        <color auto="1"/>
      </right>
      <top style="thick">
        <color auto="1"/>
      </top>
      <bottom style="medium">
        <color auto="1"/>
      </bottom>
    </border>
    <border>
      <left style="medium">
        <color auto="1"/>
      </left>
      <right style="thick">
        <color auto="1"/>
      </right>
      <top style="thick">
        <color auto="1"/>
      </top>
      <bottom/>
    </border>
    <border>
      <left style="thick">
        <color auto="1"/>
      </left>
      <right/>
      <top style="medium">
        <color auto="1"/>
      </top>
      <bottom style="medium">
        <color auto="1"/>
      </bottom>
    </border>
    <border>
      <left/>
      <right style="medium">
        <color auto="1"/>
      </right>
      <top style="thick">
        <color auto="1"/>
      </top>
      <bottom/>
    </border>
    <border>
      <left style="medium">
        <color auto="1"/>
      </left>
      <right/>
      <top style="medium">
        <color auto="1"/>
      </top>
      <bottom style="medium">
        <color auto="1"/>
      </bottom>
    </border>
    <border>
      <left style="medium">
        <color auto="1"/>
      </left>
      <right style="thick">
        <color auto="1"/>
      </right>
      <top style="medium">
        <color auto="1"/>
      </top>
      <bottom style="medium">
        <color auto="1"/>
      </bottom>
    </border>
    <border>
      <left style="medium">
        <color auto="1"/>
      </left>
      <right style="thick">
        <color auto="1"/>
      </right>
      <top style="medium">
        <color auto="1"/>
      </top>
      <bottom/>
    </border>
    <border>
      <left style="thick">
        <color auto="1"/>
      </left>
      <right/>
      <top style="thick">
        <color auto="1"/>
      </top>
      <bottom/>
    </border>
    <border>
      <left/>
      <right/>
      <top style="thick">
        <color auto="1"/>
      </top>
      <bottom/>
    </border>
    <border>
      <left style="thick">
        <color auto="1"/>
      </left>
      <right/>
      <top/>
      <bottom/>
    </border>
    <border>
      <left style="thick">
        <color auto="1"/>
      </left>
      <right style="thick">
        <color auto="1"/>
      </right>
      <top style="thick">
        <color auto="1"/>
      </top>
      <bottom/>
    </border>
    <border>
      <left style="thick">
        <color auto="1"/>
      </left>
      <right style="thick">
        <color auto="1"/>
      </right>
      <top/>
      <bottom/>
    </border>
    <border>
      <left style="thick">
        <color auto="1"/>
      </left>
      <right style="thick">
        <color auto="1"/>
      </right>
      <top/>
      <bottom style="thick">
        <color auto="1"/>
      </bottom>
    </border>
    <border>
      <left style="medium">
        <color auto="1"/>
      </left>
      <right/>
      <top style="medium">
        <color auto="1"/>
      </top>
      <bottom style="thick">
        <color auto="1"/>
      </bottom>
    </border>
    <border>
      <left/>
      <right style="thick">
        <color auto="1"/>
      </right>
      <top style="medium">
        <color auto="1"/>
      </top>
      <bottom style="thick">
        <color auto="1"/>
      </bottom>
    </border>
    <border>
      <left style="medium">
        <color auto="1"/>
      </left>
      <right style="medium">
        <color auto="1"/>
      </right>
      <top style="thick">
        <color auto="1"/>
      </top>
      <bottom style="medium">
        <color auto="1"/>
      </bottom>
    </border>
    <border>
      <left/>
      <right/>
      <top/>
      <bottom style="thick">
        <color auto="1"/>
      </bottom>
    </border>
    <border>
      <left style="thick">
        <color auto="1"/>
      </left>
      <right/>
      <top/>
      <bottom style="thick">
        <color auto="1"/>
      </bottom>
    </border>
    <border>
      <left/>
      <right style="thick">
        <color auto="1"/>
      </right>
      <top style="thick">
        <color auto="1"/>
      </top>
      <bottom/>
    </border>
    <border>
      <left/>
      <right style="thick">
        <color auto="1"/>
      </right>
      <top/>
      <bottom/>
    </border>
    <border>
      <left/>
      <right style="thick">
        <color auto="1"/>
      </right>
      <top/>
      <bottom style="thick">
        <color auto="1"/>
      </bottom>
    </border>
    <border>
      <left style="thick">
        <color auto="1"/>
      </left>
      <right/>
      <top style="thick">
        <color auto="1"/>
      </top>
      <bottom style="medium">
        <color auto="1"/>
      </bottom>
    </border>
    <border>
      <left/>
      <right style="medium">
        <color auto="1"/>
      </right>
      <top style="thick">
        <color auto="1"/>
      </top>
      <bottom style="medium">
        <color auto="1"/>
      </bottom>
    </border>
    <border>
      <left/>
      <right style="medium">
        <color auto="1"/>
      </right>
      <top style="medium">
        <color auto="1"/>
      </top>
      <bottom style="medium">
        <color auto="1"/>
      </bottom>
    </border>
    <border>
      <left style="thick">
        <color auto="1"/>
      </left>
      <right/>
      <top style="medium">
        <color auto="1"/>
      </top>
      <bottom style="thick">
        <color auto="1"/>
      </bottom>
    </border>
    <border>
      <left/>
      <right style="medium">
        <color auto="1"/>
      </right>
      <top style="medium">
        <color auto="1"/>
      </top>
      <bottom style="thick">
        <color auto="1"/>
      </bottom>
    </border>
    <border>
      <left/>
      <right/>
      <top style="thick">
        <color auto="1"/>
      </top>
      <bottom style="medium">
        <color auto="1"/>
      </bottom>
    </border>
    <border>
      <left/>
      <right/>
      <top style="medium">
        <color auto="1"/>
      </top>
      <bottom style="thick">
        <color auto="1"/>
      </bottom>
    </border>
    <border>
      <left/>
      <right style="medium">
        <color auto="1"/>
      </right>
      <top/>
      <bottom/>
    </border>
    <border>
      <left style="medium">
        <color auto="1"/>
      </left>
      <right/>
      <top style="medium">
        <color auto="1"/>
      </top>
      <bottom/>
    </border>
    <border>
      <left/>
      <right/>
      <top style="medium">
        <color auto="1"/>
      </top>
      <bottom/>
    </border>
    <border>
      <left/>
      <right style="thick">
        <color auto="1"/>
      </right>
      <top style="medium">
        <color auto="1"/>
      </top>
      <bottom/>
    </border>
    <border>
      <left/>
      <right style="thick">
        <color auto="1"/>
      </right>
      <top style="thick">
        <color auto="1"/>
      </top>
      <bottom style="medium">
        <color auto="1"/>
      </bottom>
    </border>
    <border>
      <left style="medium">
        <color auto="1"/>
      </left>
      <right/>
      <top style="thick">
        <color auto="1"/>
      </top>
      <bottom/>
    </border>
    <border>
      <left style="medium">
        <color auto="1"/>
      </left>
      <right/>
      <top/>
      <bottom/>
    </border>
    <border>
      <left/>
      <right style="thick">
        <color auto="1"/>
      </right>
      <top/>
      <bottom style="medium">
        <color auto="1"/>
      </bottom>
    </border>
    <border>
      <left/>
      <right style="thick">
        <color auto="1"/>
      </right>
      <top style="medium">
        <color auto="1"/>
      </top>
      <bottom style="medium">
        <color auto="1"/>
      </bottom>
    </border>
    <border>
      <left style="thick">
        <color auto="1"/>
      </left>
      <right/>
      <top style="medium">
        <color auto="1"/>
      </top>
      <bottom/>
    </border>
    <border>
      <left style="medium">
        <color auto="1"/>
      </left>
      <right/>
      <top/>
      <bottom style="medium">
        <color auto="1"/>
      </bottom>
    </border>
    <border>
      <left/>
      <right/>
      <top/>
      <bottom style="medium">
        <color auto="1"/>
      </bottom>
    </border>
    <border>
      <left style="thick">
        <color auto="1"/>
      </left>
      <right/>
      <top style="thick">
        <color auto="1"/>
      </top>
      <bottom style="thick">
        <color auto="1"/>
      </bottom>
    </border>
    <border>
      <left/>
      <right/>
      <top style="thick">
        <color auto="1"/>
      </top>
      <bottom style="thick">
        <color auto="1"/>
      </bottom>
    </border>
    <border>
      <left/>
      <right style="thick">
        <color auto="1"/>
      </right>
      <top style="thick">
        <color auto="1"/>
      </top>
      <bottom style="thick">
        <color auto="1"/>
      </bottom>
    </border>
    <border>
      <left style="thick">
        <color auto="1"/>
      </left>
      <right style="thick">
        <color auto="1"/>
      </right>
      <top style="medium">
        <color auto="1"/>
      </top>
      <bottom/>
    </border>
    <border>
      <left style="medium">
        <color auto="1"/>
      </left>
      <right/>
      <top style="thick">
        <color auto="1"/>
      </top>
      <bottom style="medium">
        <color auto="1"/>
      </bottom>
    </border>
    <border>
      <left style="medium">
        <color auto="1"/>
      </left>
      <right style="medium">
        <color auto="1"/>
      </right>
      <top style="medium">
        <color auto="1"/>
      </top>
      <bottom/>
    </border>
    <border>
      <left style="medium">
        <color auto="1"/>
      </left>
      <right style="medium">
        <color auto="1"/>
      </right>
      <top/>
      <bottom/>
    </border>
    <border>
      <left/>
      <right style="medium">
        <color auto="1"/>
      </right>
      <top/>
      <bottom style="medium">
        <color auto="1"/>
      </bottom>
    </border>
    <border>
      <left style="medium">
        <color auto="1"/>
      </left>
      <right/>
      <top/>
      <bottom style="thick">
        <color auto="1"/>
      </bottom>
    </border>
    <border>
      <left/>
      <right style="medium">
        <color auto="1"/>
      </right>
      <top/>
      <bottom style="thick">
        <color auto="1"/>
      </bottom>
    </border>
    <border>
      <left style="thick">
        <color auto="1"/>
      </left>
      <right/>
      <top/>
      <bottom style="medium">
        <color auto="1"/>
      </bottom>
    </border>
    <border>
      <left style="medium">
        <color auto="1"/>
      </left>
      <right style="medium">
        <color auto="1"/>
      </right>
      <top/>
      <bottom style="medium">
        <color auto="1"/>
      </bottom>
    </border>
  </borders>
  <cellStyleXfs count="20">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cellStyleXfs>
  <cellXfs count="258">
    <xf numFmtId="0" fontId="0" fillId="0" borderId="0" xfId="0"/>
    <xf numFmtId="0" fontId="8" fillId="0" borderId="0" xfId="0" applyFont="1"/>
    <xf numFmtId="0" fontId="2" fillId="0" borderId="0" xfId="0" applyFont="1" applyFill="1"/>
    <xf numFmtId="0" fontId="0" fillId="2" borderId="0" xfId="0" applyFill="1"/>
    <xf numFmtId="0" fontId="0" fillId="0" borderId="0" xfId="0" applyFill="1"/>
    <xf numFmtId="0" fontId="8" fillId="0" borderId="0" xfId="0" applyFont="1" applyFill="1"/>
    <xf numFmtId="0" fontId="2" fillId="0" borderId="0" xfId="0" applyFont="1"/>
    <xf numFmtId="0" fontId="23" fillId="3" borderId="1" xfId="0" applyFont="1" applyFill="1" applyBorder="1" applyAlignment="1">
      <alignment horizontal="center" vertical="center"/>
    </xf>
    <xf numFmtId="0" fontId="15" fillId="3" borderId="1" xfId="0" applyFont="1" applyFill="1" applyBorder="1" applyAlignment="1">
      <alignment horizontal="center" vertical="center"/>
    </xf>
    <xf numFmtId="0" fontId="23" fillId="3" borderId="2" xfId="0" applyFont="1" applyFill="1" applyBorder="1" applyAlignment="1">
      <alignment horizontal="center" vertical="center"/>
    </xf>
    <xf numFmtId="0" fontId="3" fillId="4" borderId="3" xfId="0" applyFont="1" applyFill="1" applyBorder="1" applyAlignment="1">
      <alignment vertical="center" wrapText="1"/>
    </xf>
    <xf numFmtId="0" fontId="23" fillId="3" borderId="4" xfId="0" applyFont="1" applyFill="1" applyBorder="1" applyAlignment="1">
      <alignment horizontal="center" vertical="center"/>
    </xf>
    <xf numFmtId="0" fontId="23" fillId="3" borderId="5" xfId="0" applyFont="1" applyFill="1" applyBorder="1" applyAlignment="1">
      <alignment horizontal="center" vertical="center"/>
    </xf>
    <xf numFmtId="0" fontId="15" fillId="3" borderId="5" xfId="0" applyFont="1" applyFill="1" applyBorder="1" applyAlignment="1">
      <alignment horizontal="center" vertical="center"/>
    </xf>
    <xf numFmtId="0" fontId="27" fillId="5" borderId="6" xfId="0" applyFont="1" applyFill="1" applyBorder="1" applyAlignment="1" applyProtection="1">
      <alignment horizontal="center" vertical="center"/>
      <protection locked="0"/>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15" fillId="4" borderId="9" xfId="0" applyFont="1" applyFill="1" applyBorder="1" applyAlignment="1">
      <alignment horizontal="center" vertical="center"/>
    </xf>
    <xf numFmtId="0" fontId="15" fillId="4" borderId="10" xfId="0" applyFont="1" applyFill="1" applyBorder="1" applyAlignment="1">
      <alignment horizontal="center" vertical="center"/>
    </xf>
    <xf numFmtId="0" fontId="15" fillId="4" borderId="11" xfId="0" applyFont="1" applyFill="1" applyBorder="1" applyAlignment="1">
      <alignment horizontal="center" vertical="center"/>
    </xf>
    <xf numFmtId="0" fontId="27" fillId="5" borderId="12" xfId="0" applyFont="1" applyFill="1" applyBorder="1" applyAlignment="1" applyProtection="1">
      <alignment horizontal="center" vertical="center"/>
      <protection locked="0"/>
    </xf>
    <xf numFmtId="0" fontId="3" fillId="4" borderId="13" xfId="0" applyFont="1" applyFill="1" applyBorder="1" applyAlignment="1">
      <alignment vertical="center" wrapText="1"/>
    </xf>
    <xf numFmtId="0" fontId="0" fillId="6" borderId="0" xfId="0" applyFill="1"/>
    <xf numFmtId="0" fontId="9" fillId="6" borderId="0" xfId="0" applyFont="1" applyFill="1" applyBorder="1" applyAlignment="1">
      <alignment/>
    </xf>
    <xf numFmtId="0" fontId="27" fillId="5" borderId="1" xfId="0" applyFont="1" applyFill="1" applyBorder="1" applyAlignment="1" applyProtection="1">
      <alignment horizontal="center" vertical="center"/>
      <protection locked="0"/>
    </xf>
    <xf numFmtId="0" fontId="2" fillId="0" borderId="0" xfId="0" applyFont="1" applyFill="1" applyBorder="1" applyAlignment="1">
      <alignment horizontal="center" vertical="center"/>
    </xf>
    <xf numFmtId="0" fontId="32" fillId="0" borderId="0" xfId="0" applyFont="1" applyFill="1" applyBorder="1" applyAlignment="1">
      <alignment horizontal="center" vertical="center"/>
    </xf>
    <xf numFmtId="0" fontId="2" fillId="0" borderId="0" xfId="0" applyFont="1" applyFill="1" applyBorder="1"/>
    <xf numFmtId="0" fontId="33" fillId="2" borderId="0" xfId="0" applyFont="1" applyFill="1"/>
    <xf numFmtId="0" fontId="23" fillId="7" borderId="1" xfId="0" applyFont="1" applyFill="1" applyBorder="1" applyAlignment="1">
      <alignment horizontal="center" vertical="center"/>
    </xf>
    <xf numFmtId="0" fontId="23" fillId="7" borderId="5" xfId="0" applyFont="1" applyFill="1" applyBorder="1" applyAlignment="1">
      <alignment horizontal="center" vertical="center"/>
    </xf>
    <xf numFmtId="0" fontId="23" fillId="8" borderId="1" xfId="0" applyFont="1" applyFill="1" applyBorder="1" applyAlignment="1">
      <alignment horizontal="center" vertical="center"/>
    </xf>
    <xf numFmtId="0" fontId="23" fillId="8" borderId="4" xfId="0" applyFont="1" applyFill="1" applyBorder="1" applyAlignment="1">
      <alignment horizontal="center" vertical="center"/>
    </xf>
    <xf numFmtId="0" fontId="19" fillId="9" borderId="14" xfId="0" applyFont="1" applyFill="1" applyBorder="1" applyAlignment="1">
      <alignment horizontal="center" vertical="center"/>
    </xf>
    <xf numFmtId="0" fontId="26" fillId="9" borderId="14" xfId="0" applyFont="1" applyFill="1" applyBorder="1" applyAlignment="1">
      <alignment horizontal="center" vertical="center"/>
    </xf>
    <xf numFmtId="0" fontId="23" fillId="10" borderId="1" xfId="0" applyFont="1" applyFill="1" applyBorder="1" applyAlignment="1">
      <alignment horizontal="center" vertical="center"/>
    </xf>
    <xf numFmtId="0" fontId="23" fillId="10" borderId="15" xfId="0" applyFont="1" applyFill="1" applyBorder="1" applyAlignment="1">
      <alignment horizontal="center" vertical="center"/>
    </xf>
    <xf numFmtId="0" fontId="0" fillId="2" borderId="0" xfId="0" applyNumberFormat="1" applyFill="1"/>
    <xf numFmtId="0" fontId="34" fillId="8" borderId="1" xfId="0" applyFont="1" applyFill="1" applyBorder="1" applyAlignment="1">
      <alignment horizontal="center" vertical="center"/>
    </xf>
    <xf numFmtId="0" fontId="35" fillId="7" borderId="1" xfId="0" applyFont="1" applyFill="1" applyBorder="1" applyAlignment="1">
      <alignment horizontal="center" vertical="center"/>
    </xf>
    <xf numFmtId="0" fontId="8" fillId="2" borderId="0" xfId="0" applyFont="1" applyFill="1"/>
    <xf numFmtId="0" fontId="23" fillId="7" borderId="4" xfId="0" applyFont="1" applyFill="1" applyBorder="1" applyAlignment="1">
      <alignment horizontal="center" vertical="center"/>
    </xf>
    <xf numFmtId="0" fontId="37" fillId="2" borderId="0" xfId="0" applyFont="1" applyFill="1"/>
    <xf numFmtId="0" fontId="23" fillId="10" borderId="16" xfId="0" applyFont="1" applyFill="1" applyBorder="1" applyAlignment="1">
      <alignment horizontal="center" vertical="center"/>
    </xf>
    <xf numFmtId="0" fontId="23" fillId="10" borderId="2" xfId="0" applyFont="1" applyFill="1" applyBorder="1" applyAlignment="1">
      <alignment horizontal="center" vertical="center"/>
    </xf>
    <xf numFmtId="0" fontId="39" fillId="11" borderId="17" xfId="0" applyFont="1" applyFill="1" applyBorder="1" applyAlignment="1">
      <alignment/>
    </xf>
    <xf numFmtId="0" fontId="39" fillId="11" borderId="18" xfId="0" applyFont="1" applyFill="1" applyBorder="1" applyAlignment="1">
      <alignment/>
    </xf>
    <xf numFmtId="0" fontId="39" fillId="11" borderId="19" xfId="0" applyFont="1" applyFill="1" applyBorder="1" applyAlignment="1">
      <alignment/>
    </xf>
    <xf numFmtId="0" fontId="39" fillId="11" borderId="0" xfId="0" applyFont="1" applyFill="1" applyBorder="1" applyAlignment="1">
      <alignment/>
    </xf>
    <xf numFmtId="0" fontId="27" fillId="12" borderId="12" xfId="0" applyFont="1" applyFill="1" applyBorder="1" applyAlignment="1" applyProtection="1">
      <alignment horizontal="center" vertical="center"/>
      <protection locked="0"/>
    </xf>
    <xf numFmtId="0" fontId="27" fillId="13" borderId="12" xfId="0" applyFont="1" applyFill="1" applyBorder="1" applyAlignment="1" applyProtection="1">
      <alignment horizontal="center" vertical="center"/>
      <protection/>
    </xf>
    <xf numFmtId="0" fontId="39" fillId="11" borderId="20" xfId="0" applyFont="1" applyFill="1" applyBorder="1" applyAlignment="1">
      <alignment vertical="center"/>
    </xf>
    <xf numFmtId="0" fontId="39" fillId="11" borderId="21" xfId="0" applyFont="1" applyFill="1" applyBorder="1" applyAlignment="1">
      <alignment vertical="center"/>
    </xf>
    <xf numFmtId="0" fontId="39" fillId="11" borderId="22" xfId="0" applyFont="1" applyFill="1" applyBorder="1" applyAlignment="1">
      <alignment vertical="center"/>
    </xf>
    <xf numFmtId="0" fontId="38" fillId="11" borderId="9" xfId="0" applyFont="1" applyFill="1" applyBorder="1" applyAlignment="1">
      <alignment horizontal="center" vertical="center"/>
    </xf>
    <xf numFmtId="0" fontId="38" fillId="14" borderId="10" xfId="0" applyFont="1" applyFill="1" applyBorder="1" applyAlignment="1">
      <alignment horizontal="center" vertical="center"/>
    </xf>
    <xf numFmtId="0" fontId="38" fillId="8" borderId="15" xfId="0" applyFont="1" applyFill="1" applyBorder="1" applyAlignment="1">
      <alignment horizontal="center" vertical="center"/>
    </xf>
    <xf numFmtId="0" fontId="38" fillId="7" borderId="15" xfId="0" applyFont="1" applyFill="1" applyBorder="1" applyAlignment="1">
      <alignment horizontal="center" vertical="center"/>
    </xf>
    <xf numFmtId="0" fontId="13" fillId="15" borderId="8" xfId="0" applyFont="1" applyFill="1" applyBorder="1" applyAlignment="1">
      <alignment horizontal="center" vertical="center"/>
    </xf>
    <xf numFmtId="0" fontId="13" fillId="15" borderId="9" xfId="0" applyFont="1" applyFill="1" applyBorder="1" applyAlignment="1">
      <alignment horizontal="center" vertical="center"/>
    </xf>
    <xf numFmtId="0" fontId="13" fillId="15" borderId="23" xfId="0" applyFont="1" applyFill="1" applyBorder="1" applyAlignment="1">
      <alignment horizontal="center" vertical="center"/>
    </xf>
    <xf numFmtId="0" fontId="13" fillId="15" borderId="24" xfId="0" applyFont="1" applyFill="1" applyBorder="1" applyAlignment="1">
      <alignment horizontal="center" vertical="center"/>
    </xf>
    <xf numFmtId="0" fontId="15" fillId="16" borderId="25" xfId="0" applyFont="1" applyFill="1" applyBorder="1" applyAlignment="1">
      <alignment horizontal="center" vertical="center"/>
    </xf>
    <xf numFmtId="0" fontId="15" fillId="16" borderId="10" xfId="0" applyFont="1" applyFill="1" applyBorder="1" applyAlignment="1">
      <alignment horizontal="center" vertical="center"/>
    </xf>
    <xf numFmtId="0" fontId="38" fillId="15" borderId="9" xfId="0" applyFont="1" applyFill="1" applyBorder="1" applyAlignment="1">
      <alignment horizontal="center" vertical="center"/>
    </xf>
    <xf numFmtId="0" fontId="38" fillId="13" borderId="10" xfId="0" applyFont="1" applyFill="1" applyBorder="1" applyAlignment="1">
      <alignment horizontal="center" vertical="center"/>
    </xf>
    <xf numFmtId="0" fontId="38" fillId="10" borderId="15" xfId="0" applyFont="1" applyFill="1" applyBorder="1" applyAlignment="1">
      <alignment horizontal="center" vertical="center"/>
    </xf>
    <xf numFmtId="0" fontId="38" fillId="17" borderId="15" xfId="0" applyFont="1" applyFill="1" applyBorder="1" applyAlignment="1">
      <alignment horizontal="center" vertical="center"/>
    </xf>
    <xf numFmtId="0" fontId="2" fillId="0" borderId="0" xfId="0" applyFont="1" applyFill="1" applyAlignment="1">
      <alignment horizontal="center"/>
    </xf>
    <xf numFmtId="0" fontId="2" fillId="0" borderId="0" xfId="0" applyFont="1" applyFill="1" applyBorder="1" applyAlignment="1">
      <alignment horizontal="center"/>
    </xf>
    <xf numFmtId="0" fontId="47" fillId="2" borderId="0" xfId="0" applyFont="1" applyFill="1" applyAlignment="1">
      <alignment horizontal="center" vertical="top" wrapText="1"/>
    </xf>
    <xf numFmtId="0" fontId="47" fillId="2" borderId="26" xfId="0" applyFont="1" applyFill="1" applyBorder="1" applyAlignment="1">
      <alignment horizontal="center" vertical="top" wrapText="1"/>
    </xf>
    <xf numFmtId="0" fontId="38" fillId="17" borderId="23" xfId="0" applyFont="1" applyFill="1" applyBorder="1" applyAlignment="1">
      <alignment horizontal="center" vertical="center"/>
    </xf>
    <xf numFmtId="0" fontId="38" fillId="17" borderId="24" xfId="0" applyFont="1" applyFill="1" applyBorder="1" applyAlignment="1">
      <alignment horizontal="center" vertical="center"/>
    </xf>
    <xf numFmtId="0" fontId="41" fillId="11" borderId="19" xfId="0" applyFont="1" applyFill="1" applyBorder="1" applyAlignment="1">
      <alignment horizontal="center" vertical="center"/>
    </xf>
    <xf numFmtId="0" fontId="41" fillId="11" borderId="0" xfId="0" applyFont="1" applyFill="1" applyBorder="1" applyAlignment="1">
      <alignment horizontal="center" vertical="center"/>
    </xf>
    <xf numFmtId="0" fontId="41" fillId="11" borderId="27" xfId="0" applyFont="1" applyFill="1" applyBorder="1" applyAlignment="1">
      <alignment horizontal="center" vertical="center"/>
    </xf>
    <xf numFmtId="0" fontId="41" fillId="11" borderId="26" xfId="0" applyFont="1" applyFill="1" applyBorder="1" applyAlignment="1">
      <alignment horizontal="center" vertical="center"/>
    </xf>
    <xf numFmtId="0" fontId="42" fillId="11" borderId="28" xfId="0" applyFont="1" applyFill="1" applyBorder="1" applyAlignment="1">
      <alignment horizontal="center" vertical="center" textRotation="90"/>
    </xf>
    <xf numFmtId="0" fontId="42" fillId="11" borderId="29" xfId="0" applyFont="1" applyFill="1" applyBorder="1" applyAlignment="1">
      <alignment horizontal="center" vertical="center" textRotation="90"/>
    </xf>
    <xf numFmtId="0" fontId="42" fillId="11" borderId="30" xfId="0" applyFont="1" applyFill="1" applyBorder="1" applyAlignment="1">
      <alignment horizontal="center" vertical="center" textRotation="90"/>
    </xf>
    <xf numFmtId="164" fontId="45" fillId="17" borderId="31" xfId="0" applyNumberFormat="1" applyFont="1" applyFill="1" applyBorder="1" applyAlignment="1" applyProtection="1">
      <alignment horizontal="center" vertical="center" readingOrder="2"/>
      <protection locked="0"/>
    </xf>
    <xf numFmtId="164" fontId="45" fillId="17" borderId="32" xfId="0" applyNumberFormat="1" applyFont="1" applyFill="1" applyBorder="1" applyAlignment="1" applyProtection="1">
      <alignment horizontal="center" vertical="center" readingOrder="2"/>
      <protection locked="0"/>
    </xf>
    <xf numFmtId="164" fontId="45" fillId="17" borderId="12" xfId="0" applyNumberFormat="1" applyFont="1" applyFill="1" applyBorder="1" applyAlignment="1" applyProtection="1">
      <alignment horizontal="center" vertical="center" readingOrder="2"/>
      <protection locked="0"/>
    </xf>
    <xf numFmtId="164" fontId="45" fillId="17" borderId="33" xfId="0" applyNumberFormat="1" applyFont="1" applyFill="1" applyBorder="1" applyAlignment="1" applyProtection="1">
      <alignment horizontal="center" vertical="center" readingOrder="2"/>
      <protection locked="0"/>
    </xf>
    <xf numFmtId="164" fontId="45" fillId="18" borderId="12" xfId="0" applyNumberFormat="1" applyFont="1" applyFill="1" applyBorder="1" applyAlignment="1">
      <alignment horizontal="center" vertical="center" readingOrder="2"/>
    </xf>
    <xf numFmtId="164" fontId="45" fillId="18" borderId="33" xfId="0" applyNumberFormat="1" applyFont="1" applyFill="1" applyBorder="1" applyAlignment="1">
      <alignment horizontal="center" vertical="center" readingOrder="2"/>
    </xf>
    <xf numFmtId="164" fontId="45" fillId="18" borderId="34" xfId="0" applyNumberFormat="1" applyFont="1" applyFill="1" applyBorder="1" applyAlignment="1">
      <alignment horizontal="center" vertical="center" readingOrder="2"/>
    </xf>
    <xf numFmtId="164" fontId="45" fillId="18" borderId="35" xfId="0" applyNumberFormat="1" applyFont="1" applyFill="1" applyBorder="1" applyAlignment="1">
      <alignment horizontal="center" vertical="center" readingOrder="2"/>
    </xf>
    <xf numFmtId="0" fontId="40" fillId="11" borderId="31" xfId="0" applyFont="1" applyFill="1" applyBorder="1" applyAlignment="1">
      <alignment horizontal="center" vertical="center"/>
    </xf>
    <xf numFmtId="0" fontId="40" fillId="11" borderId="36" xfId="0" applyFont="1" applyFill="1" applyBorder="1" applyAlignment="1">
      <alignment horizontal="center" vertical="center"/>
    </xf>
    <xf numFmtId="0" fontId="40" fillId="11" borderId="32" xfId="0" applyFont="1" applyFill="1" applyBorder="1" applyAlignment="1">
      <alignment horizontal="center" vertical="center"/>
    </xf>
    <xf numFmtId="0" fontId="43" fillId="11" borderId="12" xfId="0" applyFont="1" applyFill="1" applyBorder="1" applyAlignment="1">
      <alignment horizontal="center" vertical="center"/>
    </xf>
    <xf numFmtId="0" fontId="43" fillId="11" borderId="6" xfId="0" applyFont="1" applyFill="1" applyBorder="1" applyAlignment="1">
      <alignment horizontal="center" vertical="center"/>
    </xf>
    <xf numFmtId="0" fontId="43" fillId="11" borderId="33" xfId="0" applyFont="1" applyFill="1" applyBorder="1" applyAlignment="1">
      <alignment horizontal="center" vertical="center"/>
    </xf>
    <xf numFmtId="0" fontId="44" fillId="11" borderId="34" xfId="0" applyFont="1" applyFill="1" applyBorder="1" applyAlignment="1">
      <alignment horizontal="center" vertical="center"/>
    </xf>
    <xf numFmtId="0" fontId="44" fillId="11" borderId="37" xfId="0" applyFont="1" applyFill="1" applyBorder="1" applyAlignment="1">
      <alignment horizontal="center" vertical="center"/>
    </xf>
    <xf numFmtId="0" fontId="44" fillId="11" borderId="35" xfId="0" applyFont="1" applyFill="1" applyBorder="1" applyAlignment="1">
      <alignment horizontal="center" vertical="center"/>
    </xf>
    <xf numFmtId="0" fontId="43" fillId="11" borderId="31" xfId="0" applyFont="1" applyFill="1" applyBorder="1" applyAlignment="1">
      <alignment horizontal="center" vertical="center"/>
    </xf>
    <xf numFmtId="0" fontId="43" fillId="11" borderId="36" xfId="0" applyFont="1" applyFill="1" applyBorder="1" applyAlignment="1">
      <alignment horizontal="center" vertical="center"/>
    </xf>
    <xf numFmtId="0" fontId="43" fillId="11" borderId="32" xfId="0" applyFont="1" applyFill="1" applyBorder="1" applyAlignment="1">
      <alignment horizontal="center" vertical="center"/>
    </xf>
    <xf numFmtId="0" fontId="43" fillId="11" borderId="34" xfId="0" applyFont="1" applyFill="1" applyBorder="1" applyAlignment="1">
      <alignment horizontal="center" vertical="center"/>
    </xf>
    <xf numFmtId="0" fontId="43" fillId="11" borderId="37" xfId="0" applyFont="1" applyFill="1" applyBorder="1" applyAlignment="1">
      <alignment horizontal="center" vertical="center"/>
    </xf>
    <xf numFmtId="0" fontId="43" fillId="11" borderId="35" xfId="0" applyFont="1" applyFill="1" applyBorder="1" applyAlignment="1">
      <alignment horizontal="center" vertical="center"/>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20" fillId="4" borderId="19" xfId="0" applyFont="1" applyFill="1" applyBorder="1" applyAlignment="1">
      <alignment horizontal="center" vertical="top" wrapText="1"/>
    </xf>
    <xf numFmtId="0" fontId="20" fillId="4" borderId="0" xfId="0" applyFont="1" applyFill="1" applyBorder="1" applyAlignment="1">
      <alignment horizontal="center" vertical="top" wrapText="1"/>
    </xf>
    <xf numFmtId="0" fontId="20" fillId="4" borderId="38" xfId="0" applyFont="1" applyFill="1" applyBorder="1" applyAlignment="1">
      <alignment horizontal="center" vertical="top" wrapText="1"/>
    </xf>
    <xf numFmtId="0" fontId="19" fillId="19" borderId="39" xfId="0" applyFont="1" applyFill="1" applyBorder="1" applyAlignment="1">
      <alignment horizontal="center" vertical="center"/>
    </xf>
    <xf numFmtId="0" fontId="19" fillId="19" borderId="40" xfId="0" applyFont="1" applyFill="1" applyBorder="1" applyAlignment="1">
      <alignment horizontal="center" vertical="center"/>
    </xf>
    <xf numFmtId="0" fontId="19" fillId="19" borderId="41" xfId="0" applyFont="1" applyFill="1" applyBorder="1" applyAlignment="1">
      <alignment horizontal="center" vertical="center"/>
    </xf>
    <xf numFmtId="0" fontId="19" fillId="20" borderId="31" xfId="0" applyFont="1" applyFill="1" applyBorder="1" applyAlignment="1">
      <alignment horizontal="center" vertical="center"/>
    </xf>
    <xf numFmtId="0" fontId="19" fillId="20" borderId="36" xfId="0" applyFont="1" applyFill="1" applyBorder="1" applyAlignment="1">
      <alignment horizontal="center" vertical="center"/>
    </xf>
    <xf numFmtId="0" fontId="19" fillId="20" borderId="42" xfId="0" applyFont="1" applyFill="1" applyBorder="1" applyAlignment="1">
      <alignment horizontal="center" vertical="center"/>
    </xf>
    <xf numFmtId="0" fontId="30" fillId="4" borderId="43" xfId="0" applyFont="1" applyFill="1" applyBorder="1" applyAlignment="1">
      <alignment horizontal="center" vertical="center"/>
    </xf>
    <xf numFmtId="0" fontId="30" fillId="4" borderId="18" xfId="0" applyFont="1" applyFill="1" applyBorder="1" applyAlignment="1">
      <alignment horizontal="center" vertical="center"/>
    </xf>
    <xf numFmtId="0" fontId="30" fillId="4" borderId="28" xfId="0" applyFont="1" applyFill="1" applyBorder="1" applyAlignment="1">
      <alignment horizontal="center" vertical="center"/>
    </xf>
    <xf numFmtId="0" fontId="30" fillId="4" borderId="44" xfId="0" applyFont="1" applyFill="1" applyBorder="1" applyAlignment="1">
      <alignment horizontal="center" vertical="center"/>
    </xf>
    <xf numFmtId="0" fontId="30" fillId="4" borderId="0" xfId="0" applyFont="1" applyFill="1" applyBorder="1" applyAlignment="1">
      <alignment horizontal="center" vertical="center"/>
    </xf>
    <xf numFmtId="0" fontId="30" fillId="4" borderId="45" xfId="0" applyFont="1" applyFill="1" applyBorder="1" applyAlignment="1">
      <alignment horizontal="center" vertical="center"/>
    </xf>
    <xf numFmtId="0" fontId="19" fillId="13" borderId="14" xfId="0" applyFont="1" applyFill="1" applyBorder="1" applyAlignment="1">
      <alignment horizontal="center" vertical="center"/>
    </xf>
    <xf numFmtId="0" fontId="19" fillId="13" borderId="46" xfId="0" applyFont="1" applyFill="1" applyBorder="1" applyAlignment="1">
      <alignment horizontal="center" vertical="center"/>
    </xf>
    <xf numFmtId="0" fontId="25" fillId="21" borderId="34" xfId="0" applyFont="1" applyFill="1" applyBorder="1" applyAlignment="1">
      <alignment horizontal="center" vertical="center" wrapText="1"/>
    </xf>
    <xf numFmtId="0" fontId="25" fillId="21" borderId="37" xfId="0" applyFont="1" applyFill="1" applyBorder="1" applyAlignment="1">
      <alignment horizontal="center" vertical="center" wrapText="1"/>
    </xf>
    <xf numFmtId="0" fontId="25" fillId="21" borderId="24" xfId="0" applyFont="1" applyFill="1" applyBorder="1" applyAlignment="1">
      <alignment horizontal="center" vertical="center" wrapText="1"/>
    </xf>
    <xf numFmtId="0" fontId="14" fillId="21" borderId="47" xfId="0" applyFont="1" applyFill="1" applyBorder="1" applyAlignment="1">
      <alignment horizontal="center" vertical="center"/>
    </xf>
    <xf numFmtId="0" fontId="14" fillId="21" borderId="40" xfId="0" applyFont="1" applyFill="1" applyBorder="1" applyAlignment="1">
      <alignment horizontal="center" vertical="center"/>
    </xf>
    <xf numFmtId="0" fontId="19" fillId="20" borderId="32" xfId="0" applyFont="1" applyFill="1" applyBorder="1" applyAlignment="1">
      <alignment horizontal="center" vertical="center"/>
    </xf>
    <xf numFmtId="0" fontId="19" fillId="21" borderId="14" xfId="0" applyFont="1" applyFill="1" applyBorder="1" applyAlignment="1">
      <alignment horizontal="center" vertical="center"/>
    </xf>
    <xf numFmtId="0" fontId="19" fillId="21" borderId="6" xfId="0" applyFont="1" applyFill="1" applyBorder="1" applyAlignment="1">
      <alignment horizontal="center" vertical="center"/>
    </xf>
    <xf numFmtId="0" fontId="19" fillId="21" borderId="33" xfId="0" applyFont="1" applyFill="1" applyBorder="1" applyAlignment="1">
      <alignment horizontal="center" vertical="center"/>
    </xf>
    <xf numFmtId="0" fontId="22" fillId="9" borderId="14" xfId="0" applyFont="1" applyFill="1" applyBorder="1" applyAlignment="1">
      <alignment horizontal="center" vertical="center"/>
    </xf>
    <xf numFmtId="0" fontId="22" fillId="9" borderId="46" xfId="0" applyFont="1" applyFill="1" applyBorder="1" applyAlignment="1">
      <alignment horizontal="center" vertical="center"/>
    </xf>
    <xf numFmtId="0" fontId="22" fillId="9" borderId="23" xfId="0" applyFont="1" applyFill="1" applyBorder="1" applyAlignment="1">
      <alignment horizontal="center" vertical="center"/>
    </xf>
    <xf numFmtId="0" fontId="22" fillId="9" borderId="24" xfId="0" applyFont="1" applyFill="1" applyBorder="1" applyAlignment="1">
      <alignment horizontal="center" vertical="center"/>
    </xf>
    <xf numFmtId="0" fontId="19" fillId="13" borderId="39" xfId="0" applyFont="1" applyFill="1" applyBorder="1" applyAlignment="1">
      <alignment horizontal="center" vertical="center"/>
    </xf>
    <xf numFmtId="0" fontId="19" fillId="13" borderId="41" xfId="0" applyFont="1" applyFill="1" applyBorder="1" applyAlignment="1">
      <alignment horizontal="center" vertical="center"/>
    </xf>
    <xf numFmtId="0" fontId="22" fillId="13" borderId="14" xfId="0" applyFont="1" applyFill="1" applyBorder="1" applyAlignment="1">
      <alignment horizontal="center" vertical="center"/>
    </xf>
    <xf numFmtId="0" fontId="22" fillId="9" borderId="12" xfId="0" applyFont="1" applyFill="1" applyBorder="1" applyAlignment="1">
      <alignment horizontal="right" vertical="center"/>
    </xf>
    <xf numFmtId="0" fontId="22" fillId="9" borderId="33" xfId="0" applyFont="1" applyFill="1" applyBorder="1" applyAlignment="1">
      <alignment horizontal="right" vertical="center"/>
    </xf>
    <xf numFmtId="0" fontId="19" fillId="22" borderId="14" xfId="0" applyFont="1" applyFill="1" applyBorder="1" applyAlignment="1">
      <alignment horizontal="center" vertical="center"/>
    </xf>
    <xf numFmtId="0" fontId="19" fillId="22" borderId="6" xfId="0" applyFont="1" applyFill="1" applyBorder="1" applyAlignment="1">
      <alignment horizontal="center" vertical="center"/>
    </xf>
    <xf numFmtId="0" fontId="19" fillId="22" borderId="46" xfId="0" applyFont="1" applyFill="1" applyBorder="1" applyAlignment="1">
      <alignment horizontal="center" vertical="center"/>
    </xf>
    <xf numFmtId="0" fontId="5" fillId="16" borderId="31" xfId="0" applyFont="1" applyFill="1" applyBorder="1" applyAlignment="1">
      <alignment horizontal="center" vertical="center"/>
    </xf>
    <xf numFmtId="0" fontId="5" fillId="16" borderId="32" xfId="0" applyFont="1" applyFill="1" applyBorder="1" applyAlignment="1">
      <alignment horizontal="center" vertical="center"/>
    </xf>
    <xf numFmtId="0" fontId="5" fillId="16" borderId="34" xfId="0" applyFont="1" applyFill="1" applyBorder="1" applyAlignment="1">
      <alignment horizontal="center" vertical="center"/>
    </xf>
    <xf numFmtId="0" fontId="5" fillId="16" borderId="35" xfId="0" applyFont="1" applyFill="1" applyBorder="1" applyAlignment="1">
      <alignment horizontal="center" vertical="center"/>
    </xf>
    <xf numFmtId="0" fontId="19" fillId="19" borderId="14" xfId="0" applyFont="1" applyFill="1" applyBorder="1" applyAlignment="1">
      <alignment horizontal="center" vertical="center"/>
    </xf>
    <xf numFmtId="0" fontId="19" fillId="19" borderId="6" xfId="0" applyFont="1" applyFill="1" applyBorder="1" applyAlignment="1">
      <alignment horizontal="center" vertical="center"/>
    </xf>
    <xf numFmtId="0" fontId="22" fillId="21" borderId="14" xfId="0" applyFont="1" applyFill="1" applyBorder="1" applyAlignment="1">
      <alignment horizontal="center" vertical="center"/>
    </xf>
    <xf numFmtId="0" fontId="22" fillId="21" borderId="6" xfId="0" applyFont="1" applyFill="1" applyBorder="1" applyAlignment="1">
      <alignment horizontal="center" vertical="center"/>
    </xf>
    <xf numFmtId="0" fontId="22" fillId="21" borderId="33" xfId="0" applyFont="1" applyFill="1" applyBorder="1" applyAlignment="1">
      <alignment horizontal="center" vertical="center"/>
    </xf>
    <xf numFmtId="0" fontId="19" fillId="19" borderId="33" xfId="0" applyFont="1" applyFill="1" applyBorder="1" applyAlignment="1">
      <alignment horizontal="center" vertical="center"/>
    </xf>
    <xf numFmtId="0" fontId="36" fillId="21" borderId="23" xfId="0" applyFont="1" applyFill="1" applyBorder="1" applyAlignment="1">
      <alignment horizontal="center" vertical="center"/>
    </xf>
    <xf numFmtId="0" fontId="36" fillId="21" borderId="37" xfId="0" applyFont="1" applyFill="1" applyBorder="1" applyAlignment="1">
      <alignment horizontal="center" vertical="center"/>
    </xf>
    <xf numFmtId="0" fontId="19" fillId="22" borderId="39" xfId="0" applyFont="1" applyFill="1" applyBorder="1" applyAlignment="1">
      <alignment horizontal="center" vertical="center"/>
    </xf>
    <xf numFmtId="0" fontId="19" fillId="22" borderId="40" xfId="0" applyFont="1" applyFill="1" applyBorder="1" applyAlignment="1">
      <alignment horizontal="center" vertical="center"/>
    </xf>
    <xf numFmtId="0" fontId="22" fillId="19" borderId="48" xfId="0" applyFont="1" applyFill="1" applyBorder="1" applyAlignment="1">
      <alignment horizontal="center" vertical="center"/>
    </xf>
    <xf numFmtId="0" fontId="22" fillId="19" borderId="49" xfId="0" applyFont="1" applyFill="1" applyBorder="1" applyAlignment="1">
      <alignment horizontal="center" vertical="center"/>
    </xf>
    <xf numFmtId="0" fontId="22" fillId="19" borderId="45" xfId="0" applyFont="1" applyFill="1" applyBorder="1" applyAlignment="1">
      <alignment horizontal="center" vertical="center"/>
    </xf>
    <xf numFmtId="0" fontId="19" fillId="19" borderId="46" xfId="0" applyFont="1" applyFill="1" applyBorder="1" applyAlignment="1">
      <alignment horizontal="center" vertical="center"/>
    </xf>
    <xf numFmtId="0" fontId="50" fillId="23" borderId="50" xfId="0" applyFont="1" applyFill="1" applyBorder="1" applyAlignment="1">
      <alignment horizontal="center" vertical="center" wrapText="1"/>
    </xf>
    <xf numFmtId="0" fontId="50" fillId="23" borderId="51" xfId="0" applyFont="1" applyFill="1" applyBorder="1" applyAlignment="1">
      <alignment horizontal="center" vertical="center" wrapText="1"/>
    </xf>
    <xf numFmtId="0" fontId="50" fillId="23" borderId="52" xfId="0" applyFont="1" applyFill="1" applyBorder="1" applyAlignment="1">
      <alignment horizontal="center" vertical="center" wrapText="1"/>
    </xf>
    <xf numFmtId="0" fontId="46" fillId="24" borderId="17" xfId="0" applyFont="1" applyFill="1" applyBorder="1" applyAlignment="1">
      <alignment horizontal="right" vertical="top" wrapText="1"/>
    </xf>
    <xf numFmtId="0" fontId="46" fillId="24" borderId="18" xfId="0" applyFont="1" applyFill="1" applyBorder="1" applyAlignment="1">
      <alignment horizontal="right" vertical="top" wrapText="1"/>
    </xf>
    <xf numFmtId="0" fontId="46" fillId="24" borderId="28" xfId="0" applyFont="1" applyFill="1" applyBorder="1" applyAlignment="1">
      <alignment horizontal="right" vertical="top" wrapText="1"/>
    </xf>
    <xf numFmtId="0" fontId="46" fillId="24" borderId="19" xfId="0" applyFont="1" applyFill="1" applyBorder="1" applyAlignment="1">
      <alignment horizontal="right" vertical="top" wrapText="1"/>
    </xf>
    <xf numFmtId="0" fontId="46" fillId="24" borderId="0" xfId="0" applyFont="1" applyFill="1" applyBorder="1" applyAlignment="1">
      <alignment horizontal="right" vertical="top" wrapText="1"/>
    </xf>
    <xf numFmtId="0" fontId="46" fillId="24" borderId="29" xfId="0" applyFont="1" applyFill="1" applyBorder="1" applyAlignment="1">
      <alignment horizontal="right" vertical="top" wrapText="1"/>
    </xf>
    <xf numFmtId="0" fontId="29" fillId="4" borderId="53" xfId="0" applyFont="1" applyFill="1" applyBorder="1" applyAlignment="1">
      <alignment horizontal="center" vertical="center" textRotation="90"/>
    </xf>
    <xf numFmtId="0" fontId="29" fillId="4" borderId="21" xfId="0" applyFont="1" applyFill="1" applyBorder="1" applyAlignment="1">
      <alignment horizontal="center" vertical="center" textRotation="90"/>
    </xf>
    <xf numFmtId="0" fontId="19" fillId="22" borderId="54" xfId="0" applyFont="1" applyFill="1" applyBorder="1" applyAlignment="1">
      <alignment horizontal="center" vertical="center"/>
    </xf>
    <xf numFmtId="0" fontId="19" fillId="22" borderId="36" xfId="0" applyFont="1" applyFill="1" applyBorder="1" applyAlignment="1">
      <alignment horizontal="center" vertical="center"/>
    </xf>
    <xf numFmtId="0" fontId="19" fillId="22" borderId="42" xfId="0" applyFont="1" applyFill="1" applyBorder="1" applyAlignment="1">
      <alignment horizontal="center" vertical="center"/>
    </xf>
    <xf numFmtId="0" fontId="22" fillId="9" borderId="47" xfId="0" applyFont="1" applyFill="1" applyBorder="1" applyAlignment="1">
      <alignment horizontal="right" vertical="center"/>
    </xf>
    <xf numFmtId="0" fontId="22" fillId="9" borderId="3" xfId="0" applyFont="1" applyFill="1" applyBorder="1" applyAlignment="1">
      <alignment horizontal="right" vertical="center"/>
    </xf>
    <xf numFmtId="0" fontId="38" fillId="17" borderId="54" xfId="0" applyFont="1" applyFill="1" applyBorder="1" applyAlignment="1">
      <alignment horizontal="center" vertical="center"/>
    </xf>
    <xf numFmtId="0" fontId="38" fillId="17" borderId="42" xfId="0" applyFont="1" applyFill="1" applyBorder="1" applyAlignment="1">
      <alignment horizontal="center" vertical="center"/>
    </xf>
    <xf numFmtId="0" fontId="38" fillId="17" borderId="14" xfId="0" applyFont="1" applyFill="1" applyBorder="1" applyAlignment="1">
      <alignment horizontal="center" vertical="center"/>
    </xf>
    <xf numFmtId="0" fontId="38" fillId="17" borderId="46" xfId="0" applyFont="1" applyFill="1" applyBorder="1" applyAlignment="1">
      <alignment horizontal="center" vertical="center"/>
    </xf>
    <xf numFmtId="0" fontId="24" fillId="21" borderId="19" xfId="0" applyFont="1" applyFill="1" applyBorder="1" applyAlignment="1">
      <alignment horizontal="center" vertical="top" wrapText="1"/>
    </xf>
    <xf numFmtId="0" fontId="24" fillId="21" borderId="0" xfId="0" applyFont="1" applyFill="1" applyBorder="1" applyAlignment="1">
      <alignment horizontal="center" vertical="top" wrapText="1"/>
    </xf>
    <xf numFmtId="0" fontId="24" fillId="21" borderId="38" xfId="0" applyFont="1" applyFill="1" applyBorder="1" applyAlignment="1">
      <alignment horizontal="center" vertical="top" wrapText="1"/>
    </xf>
    <xf numFmtId="0" fontId="19" fillId="21" borderId="46" xfId="0" applyFont="1" applyFill="1" applyBorder="1" applyAlignment="1">
      <alignment horizontal="center" vertical="center"/>
    </xf>
    <xf numFmtId="0" fontId="22" fillId="21" borderId="46" xfId="0" applyFont="1" applyFill="1" applyBorder="1" applyAlignment="1">
      <alignment horizontal="center" vertical="center"/>
    </xf>
    <xf numFmtId="0" fontId="19" fillId="21" borderId="17" xfId="0" applyFont="1" applyFill="1" applyBorder="1" applyAlignment="1">
      <alignment horizontal="center" vertical="center"/>
    </xf>
    <xf numFmtId="0" fontId="19" fillId="21" borderId="13" xfId="0" applyFont="1" applyFill="1" applyBorder="1" applyAlignment="1">
      <alignment horizontal="center" vertical="center"/>
    </xf>
    <xf numFmtId="0" fontId="19" fillId="21" borderId="34" xfId="0" applyFont="1" applyFill="1" applyBorder="1" applyAlignment="1">
      <alignment horizontal="center" vertical="center"/>
    </xf>
    <xf numFmtId="0" fontId="19" fillId="21" borderId="35" xfId="0" applyFont="1" applyFill="1" applyBorder="1" applyAlignment="1">
      <alignment horizontal="center" vertical="center"/>
    </xf>
    <xf numFmtId="0" fontId="18" fillId="4" borderId="55" xfId="0" applyFont="1" applyFill="1" applyBorder="1" applyAlignment="1">
      <alignment horizontal="center" vertical="center" textRotation="90"/>
    </xf>
    <xf numFmtId="0" fontId="18" fillId="4" borderId="56" xfId="0" applyFont="1" applyFill="1" applyBorder="1" applyAlignment="1">
      <alignment horizontal="center" vertical="center" textRotation="90"/>
    </xf>
    <xf numFmtId="0" fontId="19" fillId="20" borderId="12" xfId="0" applyFont="1" applyFill="1" applyBorder="1" applyAlignment="1">
      <alignment horizontal="center" vertical="center"/>
    </xf>
    <xf numFmtId="0" fontId="19" fillId="20" borderId="6" xfId="0" applyFont="1" applyFill="1" applyBorder="1" applyAlignment="1">
      <alignment horizontal="center" vertical="center"/>
    </xf>
    <xf numFmtId="0" fontId="19" fillId="20" borderId="33" xfId="0" applyFont="1" applyFill="1" applyBorder="1" applyAlignment="1">
      <alignment horizontal="center" vertical="center"/>
    </xf>
    <xf numFmtId="0" fontId="10" fillId="21" borderId="47" xfId="0" applyFont="1" applyFill="1" applyBorder="1" applyAlignment="1">
      <alignment horizontal="center" vertical="center"/>
    </xf>
    <xf numFmtId="0" fontId="10" fillId="21" borderId="40" xfId="0" applyFont="1" applyFill="1" applyBorder="1" applyAlignment="1">
      <alignment horizontal="center" vertical="center"/>
    </xf>
    <xf numFmtId="0" fontId="26" fillId="21" borderId="39" xfId="0" applyFont="1" applyFill="1" applyBorder="1" applyAlignment="1">
      <alignment horizontal="center" vertical="center"/>
    </xf>
    <xf numFmtId="0" fontId="26" fillId="21" borderId="40" xfId="0" applyFont="1" applyFill="1" applyBorder="1" applyAlignment="1">
      <alignment horizontal="center" vertical="center"/>
    </xf>
    <xf numFmtId="0" fontId="26" fillId="21" borderId="41" xfId="0" applyFont="1" applyFill="1" applyBorder="1" applyAlignment="1">
      <alignment horizontal="center" vertical="center"/>
    </xf>
    <xf numFmtId="0" fontId="22" fillId="21" borderId="54" xfId="0" applyFont="1" applyFill="1" applyBorder="1" applyAlignment="1">
      <alignment horizontal="center" vertical="center"/>
    </xf>
    <xf numFmtId="0" fontId="22" fillId="21" borderId="36" xfId="0" applyFont="1" applyFill="1" applyBorder="1" applyAlignment="1">
      <alignment horizontal="center" vertical="center"/>
    </xf>
    <xf numFmtId="0" fontId="22" fillId="21" borderId="42" xfId="0" applyFont="1" applyFill="1" applyBorder="1" applyAlignment="1">
      <alignment horizontal="center" vertical="center"/>
    </xf>
    <xf numFmtId="0" fontId="26" fillId="21" borderId="23" xfId="0" applyFont="1" applyFill="1" applyBorder="1" applyAlignment="1">
      <alignment horizontal="center" vertical="center"/>
    </xf>
    <xf numFmtId="0" fontId="26" fillId="21" borderId="37" xfId="0" applyFont="1" applyFill="1" applyBorder="1" applyAlignment="1">
      <alignment horizontal="center" vertical="center"/>
    </xf>
    <xf numFmtId="0" fontId="26" fillId="21" borderId="24" xfId="0" applyFont="1" applyFill="1" applyBorder="1" applyAlignment="1">
      <alignment horizontal="center" vertical="center"/>
    </xf>
    <xf numFmtId="0" fontId="19" fillId="21" borderId="54" xfId="0" applyFont="1" applyFill="1" applyBorder="1" applyAlignment="1">
      <alignment horizontal="center" vertical="center"/>
    </xf>
    <xf numFmtId="0" fontId="19" fillId="21" borderId="36" xfId="0" applyFont="1" applyFill="1" applyBorder="1" applyAlignment="1">
      <alignment horizontal="center" vertical="center"/>
    </xf>
    <xf numFmtId="0" fontId="19" fillId="21" borderId="42" xfId="0" applyFont="1" applyFill="1" applyBorder="1" applyAlignment="1">
      <alignment horizontal="center" vertical="center"/>
    </xf>
    <xf numFmtId="0" fontId="22" fillId="21" borderId="23" xfId="0" applyFont="1" applyFill="1" applyBorder="1" applyAlignment="1">
      <alignment horizontal="center" vertical="center"/>
    </xf>
    <xf numFmtId="0" fontId="22" fillId="21" borderId="37" xfId="0" applyFont="1" applyFill="1" applyBorder="1" applyAlignment="1">
      <alignment horizontal="center" vertical="center"/>
    </xf>
    <xf numFmtId="0" fontId="22" fillId="21" borderId="24" xfId="0" applyFont="1" applyFill="1" applyBorder="1" applyAlignment="1">
      <alignment horizontal="center" vertical="center"/>
    </xf>
    <xf numFmtId="0" fontId="50" fillId="23" borderId="50" xfId="0" applyFont="1" applyFill="1" applyBorder="1" applyAlignment="1">
      <alignment horizontal="center" vertical="center"/>
    </xf>
    <xf numFmtId="0" fontId="50" fillId="23" borderId="51" xfId="0" applyFont="1" applyFill="1" applyBorder="1" applyAlignment="1">
      <alignment horizontal="center" vertical="center"/>
    </xf>
    <xf numFmtId="0" fontId="50" fillId="23" borderId="52" xfId="0" applyFont="1" applyFill="1" applyBorder="1" applyAlignment="1">
      <alignment horizontal="center" vertical="center"/>
    </xf>
    <xf numFmtId="0" fontId="33" fillId="2" borderId="0" xfId="0" applyFont="1" applyFill="1" applyAlignment="1">
      <alignment horizontal="center" wrapText="1"/>
    </xf>
    <xf numFmtId="0" fontId="3" fillId="4" borderId="39"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16" fillId="4" borderId="39" xfId="0" applyFont="1" applyFill="1" applyBorder="1" applyAlignment="1">
      <alignment horizontal="center" vertical="center"/>
    </xf>
    <xf numFmtId="0" fontId="17" fillId="4" borderId="40"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0" xfId="0" applyFont="1" applyFill="1" applyBorder="1" applyAlignment="1">
      <alignment horizontal="center" vertical="center"/>
    </xf>
    <xf numFmtId="0" fontId="17" fillId="4" borderId="49" xfId="0" applyFont="1" applyFill="1" applyBorder="1" applyAlignment="1">
      <alignment horizontal="center" vertical="center"/>
    </xf>
    <xf numFmtId="0" fontId="17" fillId="4" borderId="57" xfId="0" applyFont="1" applyFill="1" applyBorder="1" applyAlignment="1">
      <alignment horizontal="center" vertical="center"/>
    </xf>
    <xf numFmtId="0" fontId="20" fillId="4" borderId="58" xfId="0" applyFont="1" applyFill="1" applyBorder="1" applyAlignment="1">
      <alignment horizontal="center" vertical="top" wrapText="1"/>
    </xf>
    <xf numFmtId="0" fontId="20" fillId="4" borderId="26" xfId="0" applyFont="1" applyFill="1" applyBorder="1" applyAlignment="1">
      <alignment horizontal="center" vertical="top" wrapText="1"/>
    </xf>
    <xf numFmtId="0" fontId="20" fillId="4" borderId="59" xfId="0" applyFont="1" applyFill="1" applyBorder="1" applyAlignment="1">
      <alignment horizontal="center" vertical="top" wrapText="1"/>
    </xf>
    <xf numFmtId="0" fontId="11" fillId="21" borderId="19" xfId="0" applyFont="1" applyFill="1" applyBorder="1" applyAlignment="1">
      <alignment horizontal="center" vertical="top" wrapText="1"/>
    </xf>
    <xf numFmtId="0" fontId="11" fillId="21" borderId="0" xfId="0" applyFont="1" applyFill="1" applyBorder="1" applyAlignment="1">
      <alignment horizontal="center" vertical="top" wrapText="1"/>
    </xf>
    <xf numFmtId="0" fontId="11" fillId="21" borderId="60" xfId="0" applyFont="1" applyFill="1" applyBorder="1" applyAlignment="1">
      <alignment horizontal="center" vertical="top" wrapText="1"/>
    </xf>
    <xf numFmtId="0" fontId="11" fillId="21" borderId="49" xfId="0" applyFont="1" applyFill="1" applyBorder="1" applyAlignment="1">
      <alignment horizontal="center" vertical="top" wrapText="1"/>
    </xf>
    <xf numFmtId="0" fontId="19" fillId="21" borderId="48" xfId="0" applyFont="1" applyFill="1" applyBorder="1" applyAlignment="1">
      <alignment horizontal="center" vertical="center"/>
    </xf>
    <xf numFmtId="0" fontId="19" fillId="21" borderId="49" xfId="0" applyFont="1" applyFill="1" applyBorder="1" applyAlignment="1">
      <alignment horizontal="center" vertical="center"/>
    </xf>
    <xf numFmtId="0" fontId="19" fillId="21" borderId="45" xfId="0" applyFont="1" applyFill="1" applyBorder="1" applyAlignment="1">
      <alignment horizontal="center" vertical="center"/>
    </xf>
    <xf numFmtId="0" fontId="19" fillId="21" borderId="27" xfId="0" applyFont="1" applyFill="1" applyBorder="1" applyAlignment="1">
      <alignment horizontal="center" vertical="center"/>
    </xf>
    <xf numFmtId="0" fontId="19" fillId="21" borderId="59" xfId="0" applyFont="1" applyFill="1" applyBorder="1" applyAlignment="1">
      <alignment horizontal="center" vertical="center"/>
    </xf>
    <xf numFmtId="0" fontId="22" fillId="21" borderId="39" xfId="0" applyFont="1" applyFill="1" applyBorder="1" applyAlignment="1">
      <alignment horizontal="center" vertical="center"/>
    </xf>
    <xf numFmtId="0" fontId="22" fillId="21" borderId="40" xfId="0" applyFont="1" applyFill="1" applyBorder="1" applyAlignment="1">
      <alignment horizontal="center" vertical="center"/>
    </xf>
    <xf numFmtId="0" fontId="22" fillId="21" borderId="41" xfId="0" applyFont="1" applyFill="1" applyBorder="1" applyAlignment="1">
      <alignment horizontal="center" vertical="center"/>
    </xf>
    <xf numFmtId="0" fontId="22" fillId="21" borderId="48" xfId="0" applyFont="1" applyFill="1" applyBorder="1" applyAlignment="1">
      <alignment horizontal="center" vertical="center"/>
    </xf>
    <xf numFmtId="0" fontId="22" fillId="21" borderId="49" xfId="0" applyFont="1" applyFill="1" applyBorder="1" applyAlignment="1">
      <alignment horizontal="center" vertical="center"/>
    </xf>
    <xf numFmtId="0" fontId="22" fillId="21" borderId="45" xfId="0" applyFont="1" applyFill="1" applyBorder="1" applyAlignment="1">
      <alignment horizontal="center" vertical="center"/>
    </xf>
    <xf numFmtId="0" fontId="12" fillId="21" borderId="19" xfId="0" applyFont="1" applyFill="1" applyBorder="1" applyAlignment="1">
      <alignment horizontal="center" vertical="center" wrapText="1"/>
    </xf>
    <xf numFmtId="0" fontId="12" fillId="21" borderId="0" xfId="0" applyFont="1" applyFill="1" applyBorder="1" applyAlignment="1">
      <alignment horizontal="center" vertical="center" wrapText="1"/>
    </xf>
    <xf numFmtId="0" fontId="12" fillId="21" borderId="60" xfId="0" applyFont="1" applyFill="1" applyBorder="1" applyAlignment="1">
      <alignment horizontal="center" vertical="center" wrapText="1"/>
    </xf>
    <xf numFmtId="0" fontId="12" fillId="21" borderId="49" xfId="0" applyFont="1" applyFill="1" applyBorder="1" applyAlignment="1">
      <alignment horizontal="center" vertical="center" wrapText="1"/>
    </xf>
    <xf numFmtId="0" fontId="12" fillId="21" borderId="47" xfId="0" applyFont="1" applyFill="1" applyBorder="1" applyAlignment="1">
      <alignment horizontal="center" vertical="center"/>
    </xf>
    <xf numFmtId="0" fontId="12" fillId="21" borderId="40" xfId="0" applyFont="1" applyFill="1" applyBorder="1" applyAlignment="1">
      <alignment horizontal="center" vertical="center"/>
    </xf>
    <xf numFmtId="0" fontId="12" fillId="21" borderId="19" xfId="0" applyFont="1" applyFill="1" applyBorder="1" applyAlignment="1">
      <alignment horizontal="center" vertical="center"/>
    </xf>
    <xf numFmtId="0" fontId="12" fillId="21" borderId="0" xfId="0" applyFont="1" applyFill="1" applyBorder="1" applyAlignment="1">
      <alignment horizontal="center" vertical="center"/>
    </xf>
    <xf numFmtId="0" fontId="4" fillId="20" borderId="31" xfId="0" applyFont="1" applyFill="1" applyBorder="1" applyAlignment="1">
      <alignment horizontal="center" vertical="center"/>
    </xf>
    <xf numFmtId="0" fontId="4" fillId="20" borderId="36" xfId="0" applyFont="1" applyFill="1" applyBorder="1" applyAlignment="1">
      <alignment horizontal="center" vertical="center"/>
    </xf>
    <xf numFmtId="0" fontId="4" fillId="20" borderId="42" xfId="0" applyFont="1" applyFill="1" applyBorder="1" applyAlignment="1">
      <alignment horizontal="center" vertical="center"/>
    </xf>
    <xf numFmtId="0" fontId="18" fillId="4" borderId="61" xfId="0" applyFont="1" applyFill="1" applyBorder="1" applyAlignment="1">
      <alignment horizontal="center" vertical="center" textRotation="90"/>
    </xf>
    <xf numFmtId="0" fontId="4" fillId="20" borderId="12" xfId="0" applyFont="1" applyFill="1" applyBorder="1" applyAlignment="1">
      <alignment horizontal="center" vertical="center"/>
    </xf>
    <xf numFmtId="0" fontId="4" fillId="20" borderId="6" xfId="0" applyFont="1" applyFill="1" applyBorder="1" applyAlignment="1">
      <alignment horizontal="center" vertical="center"/>
    </xf>
    <xf numFmtId="0" fontId="4" fillId="20" borderId="33" xfId="0" applyFont="1" applyFill="1" applyBorder="1" applyAlignment="1">
      <alignment horizontal="center" vertical="center"/>
    </xf>
  </cellXfs>
  <cellStyles count="6">
    <cellStyle name="Normal" xfId="0"/>
    <cellStyle name="Percent" xfId="15" builtinId="5"/>
    <cellStyle name="Currency" xfId="16" builtinId="4"/>
    <cellStyle name="Currency [0]" xfId="17" builtinId="7"/>
    <cellStyle name="Comma" xfId="18" builtinId="3"/>
    <cellStyle name="Comma [0]" xfId="19" builtinId="6"/>
  </cellStyle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Relationships xmlns="http://schemas.openxmlformats.org/package/2006/relationships"><Relationship Id="rId6" Type="http://schemas.openxmlformats.org/officeDocument/2006/relationships/sharedStrings" Target="sharedStrings.xml" /><Relationship Id="rId1" Type="http://schemas.openxmlformats.org/officeDocument/2006/relationships/theme" Target="theme/theme1.xml" /><Relationship Id="rId5" Type="http://schemas.openxmlformats.org/officeDocument/2006/relationships/worksheet" Target="worksheets/sheet3.xml" /><Relationship Id="rId3" Type="http://schemas.openxmlformats.org/officeDocument/2006/relationships/worksheet" Target="worksheets/sheet1.xml" /><Relationship Id="rId4" Type="http://schemas.openxmlformats.org/officeDocument/2006/relationships/worksheet" Target="worksheets/sheet2.xml" /><Relationship Id="rId7" Type="http://schemas.openxmlformats.org/officeDocument/2006/relationships/calcChain" Target="calcChain.xml" /><Relationship Id="rId2" Type="http://schemas.openxmlformats.org/officeDocument/2006/relationships/styles" Target="styles.xml" /></Relationships>
</file>

<file path=xl/drawings/_rels/drawing1.xml.rels><?xml version="1.0" encoding="UTF-8" standalone="yes"?><Relationships xmlns="http://schemas.openxmlformats.org/package/2006/relationships"><Relationship Id="rId5" Type="http://schemas.openxmlformats.org/officeDocument/2006/relationships/image" Target="../media/image1.png" /><Relationship Id="rId4" Type="http://schemas.openxmlformats.org/officeDocument/2006/relationships/image" Target="../media/image2.png" /><Relationship Id="rId3" Type="http://schemas.openxmlformats.org/officeDocument/2006/relationships/image" Target="../media/image5.png" /><Relationship Id="rId1" Type="http://schemas.openxmlformats.org/officeDocument/2006/relationships/image" Target="../media/image3.png" /><Relationship Id="rId2" Type="http://schemas.openxmlformats.org/officeDocument/2006/relationships/image" Target="../media/image4.png" /></Relationships>
</file>

<file path=xl/drawings/_rels/drawing2.xml.rels><?xml version="1.0" encoding="UTF-8" standalone="yes"?><Relationships xmlns="http://schemas.openxmlformats.org/package/2006/relationships"><Relationship Id="rId2" Type="http://schemas.openxmlformats.org/officeDocument/2006/relationships/image" Target="../media/image6.png" /><Relationship Id="rId1" Type="http://schemas.openxmlformats.org/officeDocument/2006/relationships/image" Target="../media/image7.png" /></Relationships>
</file>

<file path=xl/drawings/_rels/drawing3.xml.rels><?xml version="1.0" encoding="UTF-8" standalone="yes"?><Relationships xmlns="http://schemas.openxmlformats.org/package/2006/relationships"><Relationship Id="rId2" Type="http://schemas.openxmlformats.org/officeDocument/2006/relationships/image" Target="../media/image8.png" /><Relationship Id="rId1" Type="http://schemas.openxmlformats.org/officeDocument/2006/relationships/image" Target="../media/image7.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10</xdr:col>
      <xdr:colOff>419101</xdr:colOff>
      <xdr:row>1</xdr:row>
      <xdr:rowOff>364480</xdr:rowOff>
    </xdr:from>
    <xdr:to>
      <xdr:col>12</xdr:col>
      <xdr:colOff>147335</xdr:colOff>
      <xdr:row>3</xdr:row>
      <xdr:rowOff>231766</xdr:rowOff>
    </xdr:to>
    <xdr:pic>
      <xdr:nvPicPr>
        <xdr:cNvPr id="2" name="Picture 1"/>
        <xdr:cNvPicPr>
          <a:picLocks noChangeAspect="1"/>
        </xdr:cNvPicPr>
      </xdr:nvPicPr>
      <xdr:blipFill>
        <a:blip r:embed="rId1">
          <a:extLst>
            <a:ext uri="{28A0092B-C50C-407E-A947-70E740481C1C}">
              <a14:useLocalDpi xmlns:a14="http://schemas.microsoft.com/office/drawing/2010/main"/>
            </a:ext>
          </a:extLst>
        </a:blip>
        <a:stretch>
          <a:fillRect/>
        </a:stretch>
      </xdr:blipFill>
      <xdr:spPr>
        <a:xfrm>
          <a:off x="7458075" y="542925"/>
          <a:ext cx="1276350" cy="590550"/>
        </a:xfrm>
        <a:prstGeom prst="rect"/>
      </xdr:spPr>
    </xdr:pic>
    <xdr:clientData/>
  </xdr:twoCellAnchor>
  <xdr:twoCellAnchor editAs="oneCell">
    <xdr:from>
      <xdr:col>0</xdr:col>
      <xdr:colOff>552450</xdr:colOff>
      <xdr:row>1</xdr:row>
      <xdr:rowOff>228600</xdr:rowOff>
    </xdr:from>
    <xdr:to>
      <xdr:col>10</xdr:col>
      <xdr:colOff>76200</xdr:colOff>
      <xdr:row>18</xdr:row>
      <xdr:rowOff>212912</xdr:rowOff>
    </xdr:to>
    <xdr:pic>
      <xdr:nvPicPr>
        <xdr:cNvPr id="6" name="Picture 5"/>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552450" y="409575"/>
          <a:ext cx="6562725" cy="4610100"/>
        </a:xfrm>
        <a:prstGeom prst="rect"/>
        <a:noFill/>
        <a:ln w="0">
          <a:noFill/>
        </a:ln>
      </xdr:spPr>
    </xdr:pic>
    <xdr:clientData/>
  </xdr:twoCellAnchor>
  <xdr:twoCellAnchor editAs="oneCell">
    <xdr:from>
      <xdr:col>1</xdr:col>
      <xdr:colOff>104092</xdr:colOff>
      <xdr:row>2</xdr:row>
      <xdr:rowOff>144587</xdr:rowOff>
    </xdr:from>
    <xdr:to>
      <xdr:col>3</xdr:col>
      <xdr:colOff>155982</xdr:colOff>
      <xdr:row>8</xdr:row>
      <xdr:rowOff>75919</xdr:rowOff>
    </xdr:to>
    <xdr:pic>
      <xdr:nvPicPr>
        <xdr:cNvPr id="8" name="Picture 7"/>
        <xdr:cNvPicPr>
          <a:picLocks noChangeAspect="1"/>
        </xdr:cNvPicPr>
      </xdr:nvPicPr>
      <xdr:blipFill>
        <a:blip r:embed="rId3">
          <a:extLst>
            <a:ext uri="{28A0092B-C50C-407E-A947-70E740481C1C}">
              <a14:useLocalDpi xmlns:a14="http://schemas.microsoft.com/office/drawing/2010/main"/>
            </a:ext>
          </a:extLst>
        </a:blip>
        <a:stretch>
          <a:fillRect/>
        </a:stretch>
      </xdr:blipFill>
      <xdr:spPr>
        <a:xfrm>
          <a:off x="790575" y="742950"/>
          <a:ext cx="1419225" cy="1628775"/>
        </a:xfrm>
        <a:prstGeom prst="rect"/>
      </xdr:spPr>
    </xdr:pic>
    <xdr:clientData/>
  </xdr:twoCellAnchor>
  <xdr:twoCellAnchor editAs="oneCell">
    <xdr:from>
      <xdr:col>1</xdr:col>
      <xdr:colOff>8403</xdr:colOff>
      <xdr:row>21</xdr:row>
      <xdr:rowOff>140359</xdr:rowOff>
    </xdr:from>
    <xdr:to>
      <xdr:col>4</xdr:col>
      <xdr:colOff>899</xdr:colOff>
      <xdr:row>24</xdr:row>
      <xdr:rowOff>280960</xdr:rowOff>
    </xdr:to>
    <xdr:pic>
      <xdr:nvPicPr>
        <xdr:cNvPr id="5" name="Picture 4"/>
        <xdr:cNvPicPr>
          <a:picLocks noChangeAspect="1"/>
        </xdr:cNvPicPr>
      </xdr:nvPicPr>
      <xdr:blipFill>
        <a:blip r:embed="rId1">
          <a:extLst>
            <a:ext uri="{28A0092B-C50C-407E-A947-70E740481C1C}">
              <a14:useLocalDpi xmlns:a14="http://schemas.microsoft.com/office/drawing/2010/main"/>
            </a:ext>
          </a:extLst>
        </a:blip>
        <a:stretch>
          <a:fillRect/>
        </a:stretch>
      </xdr:blipFill>
      <xdr:spPr>
        <a:xfrm>
          <a:off x="695325" y="5686425"/>
          <a:ext cx="2095500" cy="990600"/>
        </a:xfrm>
        <a:prstGeom prst="rect"/>
      </xdr:spPr>
    </xdr:pic>
    <xdr:clientData/>
  </xdr:twoCellAnchor>
  <xdr:twoCellAnchor editAs="oneCell">
    <xdr:from>
      <xdr:col>7</xdr:col>
      <xdr:colOff>56031</xdr:colOff>
      <xdr:row>0</xdr:row>
      <xdr:rowOff>7366</xdr:rowOff>
    </xdr:from>
    <xdr:to>
      <xdr:col>10</xdr:col>
      <xdr:colOff>174574</xdr:colOff>
      <xdr:row>9</xdr:row>
      <xdr:rowOff>207438</xdr:rowOff>
    </xdr:to>
    <xdr:pic>
      <xdr:nvPicPr>
        <xdr:cNvPr id="3" name="Picture 2"/>
        <xdr:cNvPicPr>
          <a:picLocks noChangeAspect="1"/>
        </xdr:cNvPicPr>
      </xdr:nvPicPr>
      <xdr:blipFill>
        <a:blip r:embed="rId4">
          <a:extLst>
            <a:ext uri="{28A0092B-C50C-407E-A947-70E740481C1C}">
              <a14:useLocalDpi xmlns:a14="http://schemas.microsoft.com/office/drawing/2010/main"/>
            </a:ext>
          </a:extLst>
        </a:blip>
        <a:stretch>
          <a:fillRect/>
        </a:stretch>
      </xdr:blipFill>
      <xdr:spPr>
        <a:xfrm>
          <a:off x="5000625" y="9525"/>
          <a:ext cx="2209800" cy="2752725"/>
        </a:xfrm>
        <a:prstGeom prst="rect"/>
      </xdr:spPr>
    </xdr:pic>
    <xdr:clientData/>
  </xdr:twoCellAnchor>
  <xdr:twoCellAnchor editAs="oneCell">
    <xdr:from>
      <xdr:col>4</xdr:col>
      <xdr:colOff>304801</xdr:colOff>
      <xdr:row>8</xdr:row>
      <xdr:rowOff>38099</xdr:rowOff>
    </xdr:from>
    <xdr:to>
      <xdr:col>7</xdr:col>
      <xdr:colOff>24809</xdr:colOff>
      <xdr:row>11</xdr:row>
      <xdr:rowOff>185657</xdr:rowOff>
    </xdr:to>
    <xdr:pic>
      <xdr:nvPicPr>
        <xdr:cNvPr id="9" name="Picture 8"/>
        <xdr:cNvPicPr>
          <a:picLocks noChangeAspect="1"/>
        </xdr:cNvPicPr>
      </xdr:nvPicPr>
      <xdr:blipFill>
        <a:blip r:embed="rId5">
          <a:extLst>
            <a:ext uri="{28A0092B-C50C-407E-A947-70E740481C1C}">
              <a14:useLocalDpi xmlns:a14="http://schemas.microsoft.com/office/drawing/2010/main"/>
            </a:ext>
          </a:extLst>
        </a:blip>
        <a:stretch>
          <a:fillRect/>
        </a:stretch>
      </xdr:blipFill>
      <xdr:spPr>
        <a:xfrm>
          <a:off x="3095625" y="2333625"/>
          <a:ext cx="1876425" cy="876300"/>
        </a:xfrm>
        <a:prstGeom prst="rect"/>
        <a:noFill/>
        <a:ln>
          <a:noFill/>
        </a:ln>
        <a:effectLs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11</xdr:col>
      <xdr:colOff>381001</xdr:colOff>
      <xdr:row>1</xdr:row>
      <xdr:rowOff>170447</xdr:rowOff>
    </xdr:from>
    <xdr:to>
      <xdr:col>13</xdr:col>
      <xdr:colOff>278471</xdr:colOff>
      <xdr:row>3</xdr:row>
      <xdr:rowOff>237623</xdr:rowOff>
    </xdr:to>
    <xdr:pic>
      <xdr:nvPicPr>
        <xdr:cNvPr id="2" name="Picture 1"/>
        <xdr:cNvPicPr>
          <a:picLocks noChangeAspect="1"/>
        </xdr:cNvPicPr>
      </xdr:nvPicPr>
      <xdr:blipFill>
        <a:blip r:embed="rId1">
          <a:extLst>
            <a:ext uri="{28A0092B-C50C-407E-A947-70E740481C1C}">
              <a14:useLocalDpi xmlns:a14="http://schemas.microsoft.com/office/drawing/2010/main"/>
            </a:ext>
          </a:extLst>
        </a:blip>
        <a:stretch>
          <a:fillRect/>
        </a:stretch>
      </xdr:blipFill>
      <xdr:spPr>
        <a:xfrm>
          <a:off x="8286750" y="352425"/>
          <a:ext cx="1219200" cy="600075"/>
        </a:xfrm>
        <a:prstGeom prst="rect"/>
      </xdr:spPr>
    </xdr:pic>
    <xdr:clientData/>
  </xdr:twoCellAnchor>
  <xdr:twoCellAnchor editAs="oneCell">
    <xdr:from>
      <xdr:col>1</xdr:col>
      <xdr:colOff>37393</xdr:colOff>
      <xdr:row>2</xdr:row>
      <xdr:rowOff>40107</xdr:rowOff>
    </xdr:from>
    <xdr:to>
      <xdr:col>10</xdr:col>
      <xdr:colOff>584185</xdr:colOff>
      <xdr:row>20</xdr:row>
      <xdr:rowOff>0</xdr:rowOff>
    </xdr:to>
    <xdr:pic>
      <xdr:nvPicPr>
        <xdr:cNvPr id="4" name="Picture 3"/>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723900" y="409575"/>
          <a:ext cx="7077075" cy="4619625"/>
        </a:xfrm>
        <a:prstGeom prst="rect"/>
      </xdr:spPr>
    </xdr:pic>
    <xdr:clientData/>
  </xdr:twoCellAnchor>
  <xdr:oneCellAnchor>
    <xdr:from>
      <xdr:col>6</xdr:col>
      <xdr:colOff>200025</xdr:colOff>
      <xdr:row>11</xdr:row>
      <xdr:rowOff>200025</xdr:rowOff>
    </xdr:from>
    <xdr:ext cx="180975" cy="266700"/>
    <xdr:sp>
      <xdr:nvSpPr>
        <xdr:cNvPr id="5" name="TextBox 4"/>
        <xdr:cNvSpPr txBox="1"/>
      </xdr:nvSpPr>
      <xdr:spPr>
        <a:xfrm>
          <a:off x="4600575" y="3019425"/>
          <a:ext cx="180975" cy="266700"/>
        </a:xfrm>
        <a:prstGeom prst="rect"/>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endParaRPr lang="en-US" sz="1100"/>
        </a:p>
      </xdr:txBody>
    </xdr:sp>
    <xdr:clientData/>
  </xdr:oneCellAnchor>
  <xdr:oneCellAnchor>
    <xdr:from>
      <xdr:col>4</xdr:col>
      <xdr:colOff>47625</xdr:colOff>
      <xdr:row>12</xdr:row>
      <xdr:rowOff>19050</xdr:rowOff>
    </xdr:from>
    <xdr:ext cx="923925" cy="457200"/>
    <xdr:sp>
      <xdr:nvSpPr>
        <xdr:cNvPr id="6" name="TextBox 5"/>
        <xdr:cNvSpPr txBox="1"/>
      </xdr:nvSpPr>
      <xdr:spPr>
        <a:xfrm>
          <a:off x="3076575" y="3076575"/>
          <a:ext cx="923925" cy="457200"/>
        </a:xfrm>
        <a:prstGeom prst="rect"/>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pPr/>
          <a:r>
            <a:rPr lang="fa-IR" sz="1800" b="1">
              <a:solidFill>
                <a:srgbClr val="1C03B5"/>
              </a:solidFill>
              <a:cs typeface="2 Nazanin" panose="00000400000000000000" pitchFamily="2" charset="-78"/>
            </a:rPr>
            <a:t>دیوار</a:t>
          </a:r>
          <a:r>
            <a:rPr lang="fa-IR" sz="1800" b="1" baseline="0">
              <a:solidFill>
                <a:srgbClr val="1C03B5"/>
              </a:solidFill>
              <a:cs typeface="2 Nazanin" panose="00000400000000000000" pitchFamily="2" charset="-78"/>
            </a:rPr>
            <a:t> یک</a:t>
          </a:r>
          <a:endParaRPr lang="en-US" sz="1800" b="1">
            <a:solidFill>
              <a:srgbClr val="1C03B5"/>
            </a:solidFill>
            <a:cs typeface="2 Nazanin" panose="00000400000000000000" pitchFamily="2" charset="-78"/>
          </a:endParaRPr>
        </a:p>
      </xdr:txBody>
    </xdr:sp>
    <xdr:clientData/>
  </xdr:oneCellAnchor>
  <xdr:oneCellAnchor>
    <xdr:from>
      <xdr:col>1</xdr:col>
      <xdr:colOff>600075</xdr:colOff>
      <xdr:row>10</xdr:row>
      <xdr:rowOff>228600</xdr:rowOff>
    </xdr:from>
    <xdr:ext cx="819150" cy="457200"/>
    <xdr:sp>
      <xdr:nvSpPr>
        <xdr:cNvPr id="7" name="TextBox 6"/>
        <xdr:cNvSpPr txBox="1"/>
      </xdr:nvSpPr>
      <xdr:spPr>
        <a:xfrm rot="1906317">
          <a:off x="1285875" y="2809875"/>
          <a:ext cx="819150" cy="457200"/>
        </a:xfrm>
        <a:prstGeom prst="rect"/>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pPr/>
          <a:r>
            <a:rPr lang="fa-IR" sz="1800" b="1">
              <a:solidFill>
                <a:srgbClr val="1C03B5"/>
              </a:solidFill>
              <a:cs typeface="2 Nazanin" panose="00000400000000000000" pitchFamily="2" charset="-78"/>
            </a:rPr>
            <a:t>دیوار</a:t>
          </a:r>
          <a:r>
            <a:rPr lang="fa-IR" sz="1800" b="1" baseline="0">
              <a:solidFill>
                <a:srgbClr val="1C03B5"/>
              </a:solidFill>
              <a:cs typeface="2 Nazanin" panose="00000400000000000000" pitchFamily="2" charset="-78"/>
            </a:rPr>
            <a:t> دو</a:t>
          </a:r>
          <a:endParaRPr lang="en-US" sz="1800" b="1">
            <a:solidFill>
              <a:srgbClr val="1C03B5"/>
            </a:solidFill>
            <a:cs typeface="2 Nazanin" panose="00000400000000000000" pitchFamily="2" charset="-78"/>
          </a:endParaRPr>
        </a:p>
      </xdr:txBody>
    </xdr:sp>
    <xdr:clientData/>
  </xdr:oneCellAnchor>
  <xdr:twoCellAnchor editAs="oneCell">
    <xdr:from>
      <xdr:col>1</xdr:col>
      <xdr:colOff>40694</xdr:colOff>
      <xdr:row>2</xdr:row>
      <xdr:rowOff>47183</xdr:rowOff>
    </xdr:from>
    <xdr:to>
      <xdr:col>2</xdr:col>
      <xdr:colOff>397606</xdr:colOff>
      <xdr:row>3</xdr:row>
      <xdr:rowOff>316065</xdr:rowOff>
    </xdr:to>
    <xdr:pic>
      <xdr:nvPicPr>
        <xdr:cNvPr id="8" name="Picture 7"/>
        <xdr:cNvPicPr>
          <a:picLocks noChangeAspect="1"/>
        </xdr:cNvPicPr>
      </xdr:nvPicPr>
      <xdr:blipFill>
        <a:blip r:embed="rId1">
          <a:extLst>
            <a:ext uri="{28A0092B-C50C-407E-A947-70E740481C1C}">
              <a14:useLocalDpi xmlns:a14="http://schemas.microsoft.com/office/drawing/2010/main"/>
            </a:ext>
          </a:extLst>
        </a:blip>
        <a:stretch>
          <a:fillRect/>
        </a:stretch>
      </xdr:blipFill>
      <xdr:spPr>
        <a:xfrm>
          <a:off x="723900" y="419100"/>
          <a:ext cx="1162050" cy="609600"/>
        </a:xfrm>
        <a:prstGeom prst="rect"/>
      </xdr:spPr>
    </xdr:pic>
    <xdr:clientData/>
  </xdr:twoCellAnchor>
  <xdr:twoCellAnchor editAs="oneCell">
    <xdr:from>
      <xdr:col>9</xdr:col>
      <xdr:colOff>114655</xdr:colOff>
      <xdr:row>17</xdr:row>
      <xdr:rowOff>98731</xdr:rowOff>
    </xdr:from>
    <xdr:to>
      <xdr:col>10</xdr:col>
      <xdr:colOff>572420</xdr:colOff>
      <xdr:row>19</xdr:row>
      <xdr:rowOff>210730</xdr:rowOff>
    </xdr:to>
    <xdr:pic>
      <xdr:nvPicPr>
        <xdr:cNvPr id="9" name="Picture 8"/>
        <xdr:cNvPicPr>
          <a:picLocks noChangeAspect="1"/>
        </xdr:cNvPicPr>
      </xdr:nvPicPr>
      <xdr:blipFill>
        <a:blip r:embed="rId1">
          <a:extLst>
            <a:ext uri="{28A0092B-C50C-407E-A947-70E740481C1C}">
              <a14:useLocalDpi xmlns:a14="http://schemas.microsoft.com/office/drawing/2010/main"/>
            </a:ext>
          </a:extLst>
        </a:blip>
        <a:stretch>
          <a:fillRect/>
        </a:stretch>
      </xdr:blipFill>
      <xdr:spPr>
        <a:xfrm>
          <a:off x="6648450" y="4381500"/>
          <a:ext cx="1143000" cy="619125"/>
        </a:xfrm>
        <a:prstGeom prst="rec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12</xdr:col>
      <xdr:colOff>381001</xdr:colOff>
      <xdr:row>1</xdr:row>
      <xdr:rowOff>150395</xdr:rowOff>
    </xdr:from>
    <xdr:to>
      <xdr:col>14</xdr:col>
      <xdr:colOff>195069</xdr:colOff>
      <xdr:row>3</xdr:row>
      <xdr:rowOff>247150</xdr:rowOff>
    </xdr:to>
    <xdr:pic>
      <xdr:nvPicPr>
        <xdr:cNvPr id="3" name="Picture 2"/>
        <xdr:cNvPicPr>
          <a:picLocks noChangeAspect="1"/>
        </xdr:cNvPicPr>
      </xdr:nvPicPr>
      <xdr:blipFill>
        <a:blip r:embed="rId1">
          <a:extLst>
            <a:ext uri="{28A0092B-C50C-407E-A947-70E740481C1C}">
              <a14:useLocalDpi xmlns:a14="http://schemas.microsoft.com/office/drawing/2010/main"/>
            </a:ext>
          </a:extLst>
        </a:blip>
        <a:stretch>
          <a:fillRect/>
        </a:stretch>
      </xdr:blipFill>
      <xdr:spPr>
        <a:xfrm>
          <a:off x="8591550" y="333375"/>
          <a:ext cx="1238250" cy="590550"/>
        </a:xfrm>
        <a:prstGeom prst="rect"/>
      </xdr:spPr>
    </xdr:pic>
    <xdr:clientData/>
  </xdr:twoCellAnchor>
  <xdr:twoCellAnchor editAs="oneCell">
    <xdr:from>
      <xdr:col>2</xdr:col>
      <xdr:colOff>20685</xdr:colOff>
      <xdr:row>2</xdr:row>
      <xdr:rowOff>17081</xdr:rowOff>
    </xdr:from>
    <xdr:to>
      <xdr:col>11</xdr:col>
      <xdr:colOff>501314</xdr:colOff>
      <xdr:row>20</xdr:row>
      <xdr:rowOff>0</xdr:rowOff>
    </xdr:to>
    <xdr:pic>
      <xdr:nvPicPr>
        <xdr:cNvPr id="2" name="Picture 1"/>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1390650" y="390525"/>
          <a:ext cx="6724650" cy="4486275"/>
        </a:xfrm>
        <a:prstGeom prst="rect"/>
      </xdr:spPr>
    </xdr:pic>
    <xdr:clientData/>
  </xdr:twoCellAnchor>
  <xdr:oneCellAnchor>
    <xdr:from>
      <xdr:col>5</xdr:col>
      <xdr:colOff>381000</xdr:colOff>
      <xdr:row>11</xdr:row>
      <xdr:rowOff>209550</xdr:rowOff>
    </xdr:from>
    <xdr:ext cx="752475" cy="381000"/>
    <xdr:sp>
      <xdr:nvSpPr>
        <xdr:cNvPr id="4" name="TextBox 3"/>
        <xdr:cNvSpPr txBox="1"/>
      </xdr:nvSpPr>
      <xdr:spPr>
        <a:xfrm>
          <a:off x="3810000" y="3009900"/>
          <a:ext cx="752475" cy="381000"/>
        </a:xfrm>
        <a:prstGeom prst="rect"/>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pPr/>
          <a:r>
            <a:rPr lang="fa-IR" sz="1400" b="1">
              <a:solidFill>
                <a:srgbClr val="1C03B5"/>
              </a:solidFill>
              <a:cs typeface="2 Nazanin" panose="00000400000000000000" pitchFamily="2" charset="-78"/>
            </a:rPr>
            <a:t>دیوار</a:t>
          </a:r>
          <a:r>
            <a:rPr lang="fa-IR" sz="1400" b="1" baseline="0">
              <a:solidFill>
                <a:srgbClr val="1C03B5"/>
              </a:solidFill>
              <a:cs typeface="2 Nazanin" panose="00000400000000000000" pitchFamily="2" charset="-78"/>
            </a:rPr>
            <a:t> یک</a:t>
          </a:r>
          <a:endParaRPr lang="en-US" sz="1400" b="1">
            <a:solidFill>
              <a:srgbClr val="1C03B5"/>
            </a:solidFill>
            <a:cs typeface="2 Nazanin" panose="00000400000000000000" pitchFamily="2" charset="-78"/>
          </a:endParaRPr>
        </a:p>
      </xdr:txBody>
    </xdr:sp>
    <xdr:clientData/>
  </xdr:oneCellAnchor>
  <xdr:oneCellAnchor>
    <xdr:from>
      <xdr:col>3</xdr:col>
      <xdr:colOff>523875</xdr:colOff>
      <xdr:row>11</xdr:row>
      <xdr:rowOff>0</xdr:rowOff>
    </xdr:from>
    <xdr:ext cx="676275" cy="381000"/>
    <xdr:sp>
      <xdr:nvSpPr>
        <xdr:cNvPr id="5" name="TextBox 4"/>
        <xdr:cNvSpPr txBox="1"/>
      </xdr:nvSpPr>
      <xdr:spPr>
        <a:xfrm rot="2189064">
          <a:off x="2581275" y="2800350"/>
          <a:ext cx="676275" cy="381000"/>
        </a:xfrm>
        <a:prstGeom prst="rect"/>
        <a:noFill/>
      </xdr:spPr>
      <xdr:style>
        <a:lnRef idx="0">
          <a:srgbClr val="000000"/>
        </a:lnRef>
        <a:fillRef idx="0">
          <a:srgbClr val="000000"/>
        </a:fillRef>
        <a:effectRef idx="0">
          <a:srgbClr val="000000"/>
        </a:effectRef>
        <a:fontRef idx="minor">
          <a:schemeClr val="tx1"/>
        </a:fontRef>
      </xdr:style>
      <xdr:txBody>
        <a:bodyPr vertOverflow="clip" horzOverflow="clip" wrap="none" anchor="t">
          <a:spAutoFit/>
        </a:bodyPr>
        <a:lstStyle/>
        <a:p>
          <a:pPr/>
          <a:r>
            <a:rPr lang="fa-IR" sz="1400" b="1">
              <a:solidFill>
                <a:srgbClr val="1C03B5"/>
              </a:solidFill>
              <a:cs typeface="2 Nazanin" panose="00000400000000000000" pitchFamily="2" charset="-78"/>
            </a:rPr>
            <a:t>دیوار</a:t>
          </a:r>
          <a:r>
            <a:rPr lang="fa-IR" sz="1400" b="1" baseline="0">
              <a:solidFill>
                <a:srgbClr val="1C03B5"/>
              </a:solidFill>
              <a:cs typeface="2 Nazanin" panose="00000400000000000000" pitchFamily="2" charset="-78"/>
            </a:rPr>
            <a:t> دو</a:t>
          </a:r>
          <a:endParaRPr lang="en-US" sz="1400" b="1">
            <a:solidFill>
              <a:srgbClr val="1C03B5"/>
            </a:solidFill>
            <a:cs typeface="2 Nazanin" panose="00000400000000000000" pitchFamily="2" charset="-78"/>
          </a:endParaRPr>
        </a:p>
      </xdr:txBody>
    </xdr:sp>
    <xdr:clientData/>
  </xdr:oneCellAnchor>
  <xdr:twoCellAnchor editAs="oneCell">
    <xdr:from>
      <xdr:col>2</xdr:col>
      <xdr:colOff>42112</xdr:colOff>
      <xdr:row>2</xdr:row>
      <xdr:rowOff>22058</xdr:rowOff>
    </xdr:from>
    <xdr:to>
      <xdr:col>3</xdr:col>
      <xdr:colOff>507891</xdr:colOff>
      <xdr:row>3</xdr:row>
      <xdr:rowOff>319339</xdr:rowOff>
    </xdr:to>
    <xdr:pic>
      <xdr:nvPicPr>
        <xdr:cNvPr id="6" name="Picture 5"/>
        <xdr:cNvPicPr>
          <a:picLocks noChangeAspect="1"/>
        </xdr:cNvPicPr>
      </xdr:nvPicPr>
      <xdr:blipFill>
        <a:blip r:embed="rId1">
          <a:extLst>
            <a:ext uri="{28A0092B-C50C-407E-A947-70E740481C1C}">
              <a14:useLocalDpi xmlns:a14="http://schemas.microsoft.com/office/drawing/2010/main"/>
            </a:ext>
          </a:extLst>
        </a:blip>
        <a:stretch>
          <a:fillRect/>
        </a:stretch>
      </xdr:blipFill>
      <xdr:spPr>
        <a:xfrm>
          <a:off x="1409700" y="390525"/>
          <a:ext cx="1152525" cy="600075"/>
        </a:xfrm>
        <a:prstGeom prst="rect"/>
      </xdr:spPr>
    </xdr:pic>
    <xdr:clientData/>
  </xdr:twoCellAnchor>
  <xdr:twoCellAnchor editAs="oneCell">
    <xdr:from>
      <xdr:col>10</xdr:col>
      <xdr:colOff>14034</xdr:colOff>
      <xdr:row>17</xdr:row>
      <xdr:rowOff>84220</xdr:rowOff>
    </xdr:from>
    <xdr:to>
      <xdr:col>11</xdr:col>
      <xdr:colOff>479813</xdr:colOff>
      <xdr:row>19</xdr:row>
      <xdr:rowOff>221081</xdr:rowOff>
    </xdr:to>
    <xdr:pic>
      <xdr:nvPicPr>
        <xdr:cNvPr id="7" name="Picture 6"/>
        <xdr:cNvPicPr>
          <a:picLocks noChangeAspect="1"/>
        </xdr:cNvPicPr>
      </xdr:nvPicPr>
      <xdr:blipFill>
        <a:blip r:embed="rId1">
          <a:extLst>
            <a:ext uri="{28A0092B-C50C-407E-A947-70E740481C1C}">
              <a14:useLocalDpi xmlns:a14="http://schemas.microsoft.com/office/drawing/2010/main"/>
            </a:ext>
          </a:extLst>
        </a:blip>
        <a:stretch>
          <a:fillRect/>
        </a:stretch>
      </xdr:blipFill>
      <xdr:spPr>
        <a:xfrm>
          <a:off x="6943725" y="4276725"/>
          <a:ext cx="1152525" cy="581025"/>
        </a:xfrm>
        <a:prstGeom prst="rec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4" Type="http://schemas.openxmlformats.org/officeDocument/2006/relationships/printerSettings" Target="../printerSettings/printerSettings1.bin" /><Relationship Id="rId3" Type="http://schemas.openxmlformats.org/officeDocument/2006/relationships/vmlDrawing" Target="../drawings/vmlDrawing1.vml" /><Relationship Id="rId1" Type="http://schemas.openxmlformats.org/officeDocument/2006/relationships/comments" Target="../comments1.xml" /><Relationship Id="rId2"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4" Type="http://schemas.openxmlformats.org/officeDocument/2006/relationships/printerSettings" Target="../printerSettings/printerSettings2.bin" /><Relationship Id="rId3" Type="http://schemas.openxmlformats.org/officeDocument/2006/relationships/vmlDrawing" Target="../drawings/vmlDrawing2.vml" /><Relationship Id="rId1" Type="http://schemas.openxmlformats.org/officeDocument/2006/relationships/comments" Target="../comments2.xml" /><Relationship Id="rId2" Type="http://schemas.openxmlformats.org/officeDocument/2006/relationships/drawing" Target="../drawings/drawing2.xml" /></Relationships>
</file>

<file path=xl/worksheets/_rels/sheet3.xml.rels><?xml version="1.0" encoding="UTF-8" standalone="yes"?><Relationships xmlns="http://schemas.openxmlformats.org/package/2006/relationships"><Relationship Id="rId4" Type="http://schemas.openxmlformats.org/officeDocument/2006/relationships/printerSettings" Target="../printerSettings/printerSettings3.bin" /><Relationship Id="rId3" Type="http://schemas.openxmlformats.org/officeDocument/2006/relationships/vmlDrawing" Target="../drawings/vmlDrawing3.vml" /><Relationship Id="rId1" Type="http://schemas.openxmlformats.org/officeDocument/2006/relationships/comments" Target="../comments3.xml" /><Relationship Id="rId2"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9a9f6ff-c846-4e68-8e3b-36f8525f7ecc}">
  <sheetPr codeName="Sheet1"/>
  <dimension ref="A1:AF130"/>
  <sheetViews>
    <sheetView showGridLines="0" showRowColHeaders="0" tabSelected="1" zoomScale="85" zoomScaleNormal="85" workbookViewId="0" topLeftCell="A1">
      <selection pane="topLeft" activeCell="R23" sqref="R23:S23"/>
    </sheetView>
  </sheetViews>
  <sheetFormatPr defaultColWidth="9" defaultRowHeight="14.25"/>
  <cols>
    <col min="4" max="4" width="9.625" customWidth="1"/>
    <col min="5" max="5" width="9.375" customWidth="1"/>
    <col min="6" max="6" width="9.25" customWidth="1"/>
    <col min="7" max="7" width="9.625" customWidth="1"/>
    <col min="8" max="8" width="9.375" customWidth="1"/>
    <col min="10" max="10" width="9.125" customWidth="1"/>
    <col min="11" max="11" width="9.625" customWidth="1"/>
    <col min="12" max="12" width="10.75" customWidth="1"/>
    <col min="13" max="13" width="10.875" customWidth="1"/>
    <col min="14" max="14" width="10.75" customWidth="1"/>
    <col min="19" max="19" width="9.25" customWidth="1"/>
    <col min="20" max="20" width="25.75" customWidth="1"/>
    <col min="21" max="21" width="4.875" customWidth="1"/>
    <col min="23" max="26" width="9.125" style="4"/>
  </cols>
  <sheetData>
    <row r="1" spans="1:23" ht="14.25">
      <c r="A1" s="3"/>
      <c r="B1" s="3"/>
      <c r="C1" s="3"/>
      <c r="D1" s="3"/>
      <c r="E1" s="3"/>
      <c r="F1" s="3"/>
      <c r="G1" s="3"/>
      <c r="H1" s="3"/>
      <c r="I1" s="3"/>
      <c r="J1" s="3"/>
      <c r="K1" s="70" t="s">
        <v>116</v>
      </c>
      <c r="L1" s="70"/>
      <c r="M1" s="70"/>
      <c r="N1" s="70"/>
      <c r="O1" s="70"/>
      <c r="P1" s="3"/>
      <c r="Q1" s="3"/>
      <c r="R1" s="3"/>
      <c r="S1" s="3"/>
      <c r="T1" s="3"/>
      <c r="U1" s="3"/>
      <c r="V1" s="3"/>
      <c r="W1" s="3"/>
    </row>
    <row r="2" spans="1:23" ht="33" customHeight="1" thickBot="1">
      <c r="A2" s="3"/>
      <c r="B2" s="3"/>
      <c r="C2" s="3"/>
      <c r="D2" s="3"/>
      <c r="E2" s="3"/>
      <c r="F2" s="3"/>
      <c r="G2" s="3"/>
      <c r="H2" s="3"/>
      <c r="I2" s="37"/>
      <c r="J2" s="3"/>
      <c r="K2" s="71"/>
      <c r="L2" s="71"/>
      <c r="M2" s="71"/>
      <c r="N2" s="71"/>
      <c r="O2" s="71"/>
      <c r="P2" s="3"/>
      <c r="Q2" s="3"/>
      <c r="R2" s="3"/>
      <c r="S2" s="3"/>
      <c r="T2" s="3"/>
      <c r="U2" s="3"/>
      <c r="V2" s="3"/>
      <c r="W2" s="3"/>
    </row>
    <row r="3" spans="1:23" ht="24" customHeight="1" thickTop="1">
      <c r="A3" s="3"/>
      <c r="B3" s="22"/>
      <c r="C3" s="22"/>
      <c r="D3" s="22"/>
      <c r="E3" s="22"/>
      <c r="F3" s="22"/>
      <c r="G3" s="22"/>
      <c r="H3" s="22"/>
      <c r="I3" s="22"/>
      <c r="J3" s="22"/>
      <c r="K3" s="104"/>
      <c r="L3" s="105"/>
      <c r="M3" s="21"/>
      <c r="N3" s="115" t="s">
        <v>15</v>
      </c>
      <c r="O3" s="116"/>
      <c r="P3" s="116"/>
      <c r="Q3" s="116"/>
      <c r="R3" s="116"/>
      <c r="S3" s="116"/>
      <c r="T3" s="116"/>
      <c r="U3" s="116"/>
      <c r="V3" s="117"/>
      <c r="W3" s="3"/>
    </row>
    <row r="4" spans="1:23" ht="26.25" customHeight="1" thickBot="1">
      <c r="A4" s="3"/>
      <c r="B4" s="22"/>
      <c r="C4" s="22"/>
      <c r="D4" s="22"/>
      <c r="E4" s="22"/>
      <c r="F4" s="22"/>
      <c r="G4" s="22"/>
      <c r="H4" s="22"/>
      <c r="I4" s="22"/>
      <c r="J4" s="22"/>
      <c r="K4" s="106" t="s">
        <v>41</v>
      </c>
      <c r="L4" s="107"/>
      <c r="M4" s="108"/>
      <c r="N4" s="118"/>
      <c r="O4" s="119"/>
      <c r="P4" s="119"/>
      <c r="Q4" s="119"/>
      <c r="R4" s="119"/>
      <c r="S4" s="119"/>
      <c r="T4" s="119"/>
      <c r="U4" s="119"/>
      <c r="V4" s="120"/>
      <c r="W4" s="3"/>
    </row>
    <row r="5" spans="1:32" ht="21" customHeight="1" thickTop="1" thickBot="1">
      <c r="A5" s="3"/>
      <c r="B5" s="22"/>
      <c r="C5" s="22"/>
      <c r="D5" s="22"/>
      <c r="E5" s="22"/>
      <c r="F5" s="22"/>
      <c r="G5" s="22"/>
      <c r="H5" s="22"/>
      <c r="I5" s="22"/>
      <c r="J5" s="22"/>
      <c r="K5" s="112" t="s">
        <v>106</v>
      </c>
      <c r="L5" s="113"/>
      <c r="M5" s="113"/>
      <c r="N5" s="114"/>
      <c r="O5" s="112" t="s">
        <v>108</v>
      </c>
      <c r="P5" s="113"/>
      <c r="Q5" s="113"/>
      <c r="R5" s="128"/>
      <c r="S5" s="112" t="s">
        <v>61</v>
      </c>
      <c r="T5" s="113"/>
      <c r="U5" s="114"/>
      <c r="V5" s="171" t="s">
        <v>16</v>
      </c>
      <c r="W5" s="3"/>
      <c r="Y5" s="68" t="s">
        <v>57</v>
      </c>
      <c r="Z5" s="68"/>
      <c r="AA5" s="68"/>
      <c r="AB5" s="68" t="s">
        <v>58</v>
      </c>
      <c r="AC5" s="68"/>
      <c r="AD5" s="68"/>
      <c r="AE5" s="1"/>
      <c r="AF5" s="1"/>
    </row>
    <row r="6" spans="1:32" ht="21.75" customHeight="1" thickBot="1">
      <c r="A6" s="3"/>
      <c r="B6" s="22"/>
      <c r="C6" s="22"/>
      <c r="D6" s="22"/>
      <c r="E6" s="22"/>
      <c r="F6" s="22"/>
      <c r="G6" s="22"/>
      <c r="H6" s="22"/>
      <c r="I6" s="22"/>
      <c r="J6" s="22"/>
      <c r="K6" s="31">
        <f>IFERROR(IF(I39=1,((SUM(D20:R20))+SUM(D22:R22)),((SUM(D20:R20))+SUM(D22:R22))),0)</f>
        <v>13</v>
      </c>
      <c r="L6" s="148" t="s">
        <v>36</v>
      </c>
      <c r="M6" s="149"/>
      <c r="N6" s="161"/>
      <c r="O6" s="20">
        <v>10</v>
      </c>
      <c r="P6" s="129" t="s">
        <v>0</v>
      </c>
      <c r="Q6" s="130"/>
      <c r="R6" s="131"/>
      <c r="S6" s="49">
        <v>0</v>
      </c>
      <c r="T6" s="121" t="s">
        <v>72</v>
      </c>
      <c r="U6" s="122"/>
      <c r="V6" s="172"/>
      <c r="W6" s="3"/>
      <c r="Y6" s="2">
        <f>S15/O10</f>
        <v>4.2194092827004219</v>
      </c>
      <c r="Z6" s="6">
        <f>ROUNDUP(Y6,0)</f>
        <v>5</v>
      </c>
      <c r="AA6" s="6" t="s">
        <v>52</v>
      </c>
      <c r="AB6" s="2">
        <f>(S15-(O10/2))/O10</f>
        <v>3.7194092827004215</v>
      </c>
      <c r="AC6" s="6">
        <f>ROUNDUP(AB6,0)</f>
        <v>4</v>
      </c>
      <c r="AD6" s="6" t="s">
        <v>52</v>
      </c>
      <c r="AE6" s="1"/>
      <c r="AF6" s="1"/>
    </row>
    <row r="7" spans="1:32" ht="20.25" thickBot="1">
      <c r="A7" s="3"/>
      <c r="B7" s="22"/>
      <c r="C7" s="22"/>
      <c r="D7" s="22"/>
      <c r="E7" s="22"/>
      <c r="F7" s="22"/>
      <c r="G7" s="22"/>
      <c r="H7" s="22"/>
      <c r="I7" s="22"/>
      <c r="J7" s="23"/>
      <c r="K7" s="32">
        <f>IFERROR((ROUNDUP(P72,0)),0)</f>
        <v>129</v>
      </c>
      <c r="L7" s="109" t="s">
        <v>3</v>
      </c>
      <c r="M7" s="110"/>
      <c r="N7" s="111"/>
      <c r="O7" s="20">
        <v>8</v>
      </c>
      <c r="P7" s="129" t="s">
        <v>71</v>
      </c>
      <c r="Q7" s="130"/>
      <c r="R7" s="131"/>
      <c r="S7" s="49">
        <v>6</v>
      </c>
      <c r="T7" s="121" t="s">
        <v>56</v>
      </c>
      <c r="U7" s="122"/>
      <c r="V7" s="172"/>
      <c r="W7" s="3"/>
      <c r="Y7" s="2">
        <f>(Z6-Y6)*O10</f>
        <v>0.92500000000000004</v>
      </c>
      <c r="Z7" s="6"/>
      <c r="AA7" s="6"/>
      <c r="AB7" s="2"/>
      <c r="AC7" s="6"/>
      <c r="AD7" s="6"/>
      <c r="AE7" s="1"/>
      <c r="AF7" s="1"/>
    </row>
    <row r="8" spans="1:32" ht="20.25" thickBot="1">
      <c r="A8" s="3"/>
      <c r="B8" s="22"/>
      <c r="C8" s="22"/>
      <c r="D8" s="22"/>
      <c r="E8" s="22"/>
      <c r="F8" s="22"/>
      <c r="G8" s="22"/>
      <c r="H8" s="22"/>
      <c r="I8" s="22"/>
      <c r="J8" s="23"/>
      <c r="K8" s="31">
        <f>IFERROR(IF(K12=0,(K35*2),(K35*2)+Q46),0)</f>
        <v>102</v>
      </c>
      <c r="L8" s="148" t="s">
        <v>37</v>
      </c>
      <c r="M8" s="149"/>
      <c r="N8" s="149"/>
      <c r="O8" s="24">
        <v>15</v>
      </c>
      <c r="P8" s="129" t="s">
        <v>40</v>
      </c>
      <c r="Q8" s="130"/>
      <c r="R8" s="131"/>
      <c r="S8" s="50">
        <f>INT(P36)</f>
        <v>10</v>
      </c>
      <c r="T8" s="121" t="s">
        <v>66</v>
      </c>
      <c r="U8" s="122"/>
      <c r="V8" s="172"/>
      <c r="W8" s="3"/>
      <c r="Y8" s="2">
        <f>(S15+S12)/O10</f>
        <v>7.5949367088607591</v>
      </c>
      <c r="Z8" s="6">
        <f>ROUNDDOWN(Y8-Z6,0)</f>
        <v>2</v>
      </c>
      <c r="AA8" s="6" t="s">
        <v>53</v>
      </c>
      <c r="AB8" s="2">
        <f>((S15-(O10/2))+S12)/O10</f>
        <v>7.0949367088607582</v>
      </c>
      <c r="AC8" s="6">
        <f>ROUNDDOWN(AB8-AC6,0)</f>
        <v>3</v>
      </c>
      <c r="AD8" s="6" t="s">
        <v>53</v>
      </c>
      <c r="AE8" s="1"/>
      <c r="AF8" s="1"/>
    </row>
    <row r="9" spans="1:32" ht="20.25" thickBot="1">
      <c r="A9" s="3"/>
      <c r="B9" s="22"/>
      <c r="C9" s="22"/>
      <c r="D9" s="22"/>
      <c r="E9" s="22"/>
      <c r="F9" s="22"/>
      <c r="G9" s="22"/>
      <c r="H9" s="22"/>
      <c r="I9" s="22"/>
      <c r="J9" s="23"/>
      <c r="K9" s="31">
        <f>IFERROR(ROUNDUP((E41*O10*O7),0),0)</f>
        <v>484</v>
      </c>
      <c r="L9" s="109" t="s">
        <v>4</v>
      </c>
      <c r="M9" s="110"/>
      <c r="N9" s="111"/>
      <c r="O9" s="14">
        <v>60</v>
      </c>
      <c r="P9" s="129" t="s">
        <v>2</v>
      </c>
      <c r="Q9" s="130"/>
      <c r="R9" s="131"/>
      <c r="S9" s="49">
        <v>4</v>
      </c>
      <c r="T9" s="121" t="s">
        <v>77</v>
      </c>
      <c r="U9" s="122"/>
      <c r="V9" s="172"/>
      <c r="W9" s="3"/>
      <c r="Y9" s="2">
        <f>(O8/2)-((Z6+Z8)*O10)</f>
        <v>-0.79499999999999993</v>
      </c>
      <c r="Z9" s="6"/>
      <c r="AA9" s="6"/>
      <c r="AB9" s="2">
        <f>((O8/2)-(O10/2))-((AC6+AC8)*O10)</f>
        <v>-1.3875000000000002</v>
      </c>
      <c r="AC9" s="6"/>
      <c r="AD9" s="6"/>
      <c r="AE9" s="1"/>
      <c r="AF9" s="1"/>
    </row>
    <row r="10" spans="1:32" ht="18.75" customHeight="1" thickBot="1">
      <c r="A10" s="3"/>
      <c r="B10" s="22"/>
      <c r="C10" s="22"/>
      <c r="D10" s="22"/>
      <c r="E10" s="22"/>
      <c r="F10" s="22"/>
      <c r="G10" s="22"/>
      <c r="H10" s="22"/>
      <c r="I10" s="22"/>
      <c r="J10" s="22"/>
      <c r="K10" s="38">
        <f>(K7+K9)*2</f>
        <v>1226</v>
      </c>
      <c r="L10" s="148" t="s">
        <v>67</v>
      </c>
      <c r="M10" s="149"/>
      <c r="N10" s="153"/>
      <c r="O10" s="20">
        <v>1.185</v>
      </c>
      <c r="P10" s="129" t="s">
        <v>1</v>
      </c>
      <c r="Q10" s="130"/>
      <c r="R10" s="131"/>
      <c r="S10" s="49">
        <v>2</v>
      </c>
      <c r="T10" s="121" t="s">
        <v>78</v>
      </c>
      <c r="U10" s="122"/>
      <c r="V10" s="172"/>
      <c r="W10" s="3"/>
      <c r="Y10" s="2">
        <f>Y9/O10</f>
        <v>-0.670886075949367</v>
      </c>
      <c r="Z10" s="6">
        <f>INT(Y10)</f>
        <v>-1</v>
      </c>
      <c r="AA10" s="6" t="s">
        <v>52</v>
      </c>
      <c r="AB10" s="2">
        <f>AB9/O10</f>
        <v>-1.1708860759493671</v>
      </c>
      <c r="AC10" s="6">
        <f>INT(AB10)</f>
        <v>-2</v>
      </c>
      <c r="AD10" s="6" t="s">
        <v>52</v>
      </c>
      <c r="AE10" s="1"/>
      <c r="AF10" s="1"/>
    </row>
    <row r="11" spans="1:32" ht="18.75" customHeight="1" thickBot="1">
      <c r="A11" s="3"/>
      <c r="B11" s="22"/>
      <c r="C11" s="22"/>
      <c r="D11" s="22"/>
      <c r="E11" s="22"/>
      <c r="F11" s="22"/>
      <c r="G11" s="22"/>
      <c r="H11" s="22"/>
      <c r="I11" s="22"/>
      <c r="J11" s="22"/>
      <c r="K11" s="31">
        <f>IFERROR(IF(I39=1,H40,H39),0)</f>
        <v>0.98249999999999893</v>
      </c>
      <c r="L11" s="158" t="s">
        <v>45</v>
      </c>
      <c r="M11" s="159"/>
      <c r="N11" s="160"/>
      <c r="O11" s="20">
        <v>1</v>
      </c>
      <c r="P11" s="129" t="s">
        <v>9</v>
      </c>
      <c r="Q11" s="130"/>
      <c r="R11" s="131"/>
      <c r="S11" s="49">
        <v>0.60</v>
      </c>
      <c r="T11" s="121" t="s">
        <v>79</v>
      </c>
      <c r="U11" s="122"/>
      <c r="V11" s="172"/>
      <c r="W11" s="3"/>
      <c r="Y11" s="2"/>
      <c r="Z11" s="6"/>
      <c r="AA11" s="6"/>
      <c r="AB11" s="2"/>
      <c r="AC11" s="6"/>
      <c r="AD11" s="6"/>
      <c r="AE11" s="1"/>
      <c r="AF11" s="1"/>
    </row>
    <row r="12" spans="1:32" ht="20.25" customHeight="1" thickBot="1">
      <c r="A12" s="3"/>
      <c r="B12" s="22"/>
      <c r="C12" s="22"/>
      <c r="D12" s="22"/>
      <c r="E12" s="22"/>
      <c r="F12" s="22"/>
      <c r="G12" s="22"/>
      <c r="H12" s="22"/>
      <c r="I12" s="22"/>
      <c r="J12" s="22"/>
      <c r="K12" s="32">
        <f>IFERROR(ROUNDUP(((O9/O10)-K35)*O10,3),0)</f>
        <v>0.75</v>
      </c>
      <c r="L12" s="109" t="s">
        <v>43</v>
      </c>
      <c r="M12" s="110"/>
      <c r="N12" s="111"/>
      <c r="O12" s="20">
        <v>1</v>
      </c>
      <c r="P12" s="129" t="s">
        <v>10</v>
      </c>
      <c r="Q12" s="130"/>
      <c r="R12" s="131"/>
      <c r="S12" s="49">
        <v>4</v>
      </c>
      <c r="T12" s="121" t="s">
        <v>80</v>
      </c>
      <c r="U12" s="122"/>
      <c r="V12" s="172"/>
      <c r="W12" s="3"/>
      <c r="Y12" s="2"/>
      <c r="Z12" s="6">
        <f>(SUM(Z6,Z10))</f>
        <v>4</v>
      </c>
      <c r="AA12" s="6" t="s">
        <v>52</v>
      </c>
      <c r="AB12" s="2"/>
      <c r="AC12" s="6">
        <f>SUM(AC6,AC10)</f>
        <v>2</v>
      </c>
      <c r="AD12" s="6" t="s">
        <v>52</v>
      </c>
      <c r="AE12" s="1"/>
      <c r="AF12" s="1"/>
    </row>
    <row r="13" spans="1:32" ht="21.75" customHeight="1" thickTop="1" thickBot="1">
      <c r="A13" s="3"/>
      <c r="B13" s="22"/>
      <c r="C13" s="22"/>
      <c r="D13" s="22"/>
      <c r="E13" s="22"/>
      <c r="F13" s="22"/>
      <c r="G13" s="22"/>
      <c r="H13" s="22"/>
      <c r="I13" s="22"/>
      <c r="J13" s="22"/>
      <c r="K13" s="30">
        <f>IFERROR(IF(K16&gt;(O13/2),(K33*2)+2,(K33*2)+1),0)</f>
        <v>112</v>
      </c>
      <c r="L13" s="173" t="s">
        <v>68</v>
      </c>
      <c r="M13" s="174"/>
      <c r="N13" s="175"/>
      <c r="O13" s="20">
        <v>1.115</v>
      </c>
      <c r="P13" s="129" t="s">
        <v>13</v>
      </c>
      <c r="Q13" s="130"/>
      <c r="R13" s="131"/>
      <c r="S13" s="49">
        <v>4</v>
      </c>
      <c r="T13" s="121" t="s">
        <v>81</v>
      </c>
      <c r="U13" s="122"/>
      <c r="V13" s="172"/>
      <c r="W13" s="3"/>
      <c r="Y13" s="2"/>
      <c r="Z13" s="6">
        <f>Z8</f>
        <v>2</v>
      </c>
      <c r="AA13" s="6" t="s">
        <v>53</v>
      </c>
      <c r="AB13" s="2"/>
      <c r="AC13" s="6">
        <f>AC8</f>
        <v>3</v>
      </c>
      <c r="AD13" s="6" t="s">
        <v>53</v>
      </c>
      <c r="AE13" s="1"/>
      <c r="AF13" s="1"/>
    </row>
    <row r="14" spans="1:32" ht="20.25" thickBot="1">
      <c r="A14" s="3"/>
      <c r="B14" s="22"/>
      <c r="C14" s="22"/>
      <c r="D14" s="22"/>
      <c r="E14" s="22"/>
      <c r="F14" s="22"/>
      <c r="G14" s="22"/>
      <c r="H14" s="22"/>
      <c r="I14" s="22"/>
      <c r="J14" s="22"/>
      <c r="K14" s="39">
        <f>IFERROR(ROUNDUP((K13*K15*O13),0),0)</f>
        <v>1096</v>
      </c>
      <c r="L14" s="141" t="s">
        <v>42</v>
      </c>
      <c r="M14" s="142"/>
      <c r="N14" s="142"/>
      <c r="O14" s="20">
        <v>0</v>
      </c>
      <c r="P14" s="150" t="s">
        <v>11</v>
      </c>
      <c r="Q14" s="151"/>
      <c r="R14" s="152"/>
      <c r="S14" s="49">
        <v>1</v>
      </c>
      <c r="T14" s="136" t="s">
        <v>82</v>
      </c>
      <c r="U14" s="137"/>
      <c r="V14" s="172"/>
      <c r="W14" s="3"/>
      <c r="Y14" s="2"/>
      <c r="Z14" s="6">
        <f>(Y10-Z10)*O10</f>
        <v>0.39000000000000012</v>
      </c>
      <c r="AA14" s="6"/>
      <c r="AB14" s="2"/>
      <c r="AC14" s="6">
        <f>(AB10-AC10)*O10</f>
        <v>0.98250000000000004</v>
      </c>
      <c r="AD14" s="6"/>
      <c r="AE14" s="25">
        <f>IF(I39=0,Z16,AC16)</f>
        <v>12</v>
      </c>
      <c r="AF14" s="1"/>
    </row>
    <row r="15" spans="1:32" ht="18.75" customHeight="1" thickBot="1">
      <c r="A15" s="3"/>
      <c r="B15" s="22"/>
      <c r="C15" s="22"/>
      <c r="D15" s="22"/>
      <c r="E15" s="22"/>
      <c r="F15" s="22"/>
      <c r="G15" s="22"/>
      <c r="H15" s="22"/>
      <c r="I15" s="22"/>
      <c r="J15" s="22"/>
      <c r="K15" s="29">
        <f>IFERROR(ROUNDUP(R41,2),0)</f>
        <v>8.7699999999999996</v>
      </c>
      <c r="L15" s="141" t="s">
        <v>85</v>
      </c>
      <c r="M15" s="142"/>
      <c r="N15" s="143"/>
      <c r="O15" s="126" t="str">
        <f>IF(OR(K43=TRUE,K44=TRUE,K45=TRUE,K46=TRUE,K47=TRUE,K48=TRUE,K49=TRUE,K50=TRUE,K51=TRUE),"لطفا عدد وارد کنید","")</f>
        <v/>
      </c>
      <c r="P15" s="127"/>
      <c r="Q15" s="127"/>
      <c r="R15" s="127"/>
      <c r="S15" s="49">
        <v>5</v>
      </c>
      <c r="T15" s="138" t="s">
        <v>69</v>
      </c>
      <c r="U15" s="122"/>
      <c r="V15" s="172"/>
      <c r="W15" s="3"/>
      <c r="Y15" s="2"/>
      <c r="Z15" s="2"/>
      <c r="AA15" s="6"/>
      <c r="AB15" s="6"/>
      <c r="AC15" s="6"/>
      <c r="AD15" s="6"/>
      <c r="AE15" s="25">
        <f>IF(I39=0,Z13,AC13)</f>
        <v>3</v>
      </c>
      <c r="AF15" s="1"/>
    </row>
    <row r="16" spans="1:32" ht="18.75" customHeight="1" thickBot="1">
      <c r="A16" s="3"/>
      <c r="B16" s="22"/>
      <c r="C16" s="22"/>
      <c r="D16" s="22"/>
      <c r="E16" s="22"/>
      <c r="F16" s="22"/>
      <c r="G16" s="22"/>
      <c r="H16" s="22"/>
      <c r="I16" s="22"/>
      <c r="J16" s="22"/>
      <c r="K16" s="41">
        <f>IFERROR(ROUNDUP((Q40-K33)*O13,2),0)</f>
        <v>0.68000000000000005</v>
      </c>
      <c r="L16" s="156" t="s">
        <v>44</v>
      </c>
      <c r="M16" s="157"/>
      <c r="N16" s="157"/>
      <c r="O16" s="182" t="str">
        <f>IF(K15&gt;13.5,"به دلیل عدم توانایی در حمل پنل سقفی بلندتر از 13.5 متر باید طول پنل سقفی دو قسمت شده و روی هم اورلب شوند","")</f>
        <v/>
      </c>
      <c r="P16" s="183"/>
      <c r="Q16" s="183"/>
      <c r="R16" s="184"/>
      <c r="S16" s="35">
        <f>O7</f>
        <v>8</v>
      </c>
      <c r="T16" s="33" t="s">
        <v>76</v>
      </c>
      <c r="U16" s="36">
        <f>AC108</f>
        <v>42</v>
      </c>
      <c r="V16" s="172"/>
      <c r="W16" s="3"/>
      <c r="Y16" s="2">
        <f>IF(Z13=0,0,Z12+Z13)</f>
        <v>6</v>
      </c>
      <c r="Z16" s="2">
        <f>ROUNDUP((Z12*2)+(Z14*2),0)</f>
        <v>9</v>
      </c>
      <c r="AA16" s="6"/>
      <c r="AB16" s="6">
        <f>IF(AC13=0,0,AC12+AC13)</f>
        <v>5</v>
      </c>
      <c r="AC16" s="6">
        <f>((AC12+AC13+(ROUNDUP(AC14,0)))*2)</f>
        <v>12</v>
      </c>
      <c r="AD16" s="6"/>
      <c r="AE16" s="1"/>
      <c r="AF16" s="1"/>
    </row>
    <row r="17" spans="1:32" ht="20.25" thickBot="1">
      <c r="A17" s="3"/>
      <c r="B17" s="22"/>
      <c r="C17" s="22"/>
      <c r="D17" s="22"/>
      <c r="E17" s="22"/>
      <c r="F17" s="22"/>
      <c r="G17" s="22"/>
      <c r="H17" s="22"/>
      <c r="I17" s="22"/>
      <c r="J17" s="22"/>
      <c r="K17" s="29">
        <f>IFERROR(ROUNDUP((J40/K40)*100,1.5),0)</f>
        <v>26.700000000000003</v>
      </c>
      <c r="L17" s="141" t="s">
        <v>84</v>
      </c>
      <c r="M17" s="142"/>
      <c r="N17" s="143"/>
      <c r="O17" s="182"/>
      <c r="P17" s="183"/>
      <c r="Q17" s="183"/>
      <c r="R17" s="184"/>
      <c r="S17" s="35">
        <f>O7-(S9+S11)</f>
        <v>3.4000000000000004</v>
      </c>
      <c r="T17" s="34" t="s">
        <v>62</v>
      </c>
      <c r="U17" s="36">
        <f>IF(S17=0,0,AB107)</f>
        <v>6</v>
      </c>
      <c r="V17" s="172"/>
      <c r="W17" s="3"/>
      <c r="Y17" s="2"/>
      <c r="Z17" s="2"/>
      <c r="AA17" s="6"/>
      <c r="AB17" s="6"/>
      <c r="AC17" s="6"/>
      <c r="AD17" s="6"/>
      <c r="AE17" s="1"/>
      <c r="AF17" s="1"/>
    </row>
    <row r="18" spans="1:32" ht="20.25" customHeight="1" thickBot="1">
      <c r="A18" s="3"/>
      <c r="B18" s="22"/>
      <c r="C18" s="22"/>
      <c r="D18" s="22"/>
      <c r="E18" s="22"/>
      <c r="F18" s="22"/>
      <c r="G18" s="22"/>
      <c r="H18" s="22"/>
      <c r="I18" s="22"/>
      <c r="J18" s="22"/>
      <c r="K18" s="154" t="str">
        <f>IF(S6=0," ابعاد پنل ها بدون وجود درب و پنجره محاسبه شده است","ابعاد پنل ها با وجود درب و پنجره محاسبه شده است")</f>
        <v xml:space="preserve"> ابعاد پنل ها بدون وجود درب و پنجره محاسبه شده است</v>
      </c>
      <c r="L18" s="155"/>
      <c r="M18" s="155"/>
      <c r="N18" s="155"/>
      <c r="O18" s="123" t="str">
        <f>IF(I39=1," حالت پنل چینی دوم","حالت پنل چینی اول ")</f>
        <v xml:space="preserve"> حالت پنل چینی دوم</v>
      </c>
      <c r="P18" s="124"/>
      <c r="Q18" s="124"/>
      <c r="R18" s="125"/>
      <c r="S18" s="35">
        <f>S9</f>
        <v>4</v>
      </c>
      <c r="T18" s="34" t="s">
        <v>59</v>
      </c>
      <c r="U18" s="36">
        <f>IF(S18=0,0,AB107)</f>
        <v>6</v>
      </c>
      <c r="V18" s="172"/>
      <c r="W18" s="3"/>
      <c r="Y18" s="2"/>
      <c r="Z18" s="2">
        <f>IF(Z8&gt;0,Z6+1,0)</f>
        <v>6</v>
      </c>
      <c r="AA18" s="6"/>
      <c r="AB18" s="26">
        <f>IF(I39=0,Z18,AC18)</f>
        <v>6</v>
      </c>
      <c r="AC18" s="6">
        <f>IF(AC8&gt;0,AC6+2,0)</f>
        <v>6</v>
      </c>
      <c r="AD18" s="6"/>
      <c r="AE18" s="1"/>
      <c r="AF18" s="1"/>
    </row>
    <row r="19" spans="1:32" ht="19.5" thickTop="1" thickBot="1">
      <c r="A19" s="3"/>
      <c r="B19" s="144" t="s">
        <v>39</v>
      </c>
      <c r="C19" s="145"/>
      <c r="D19" s="62">
        <f t="shared" si="0" ref="D19:Q19">IFERROR(IF(D125=0,"",D125),"")</f>
        <v>8.2599999999999998</v>
      </c>
      <c r="E19" s="62">
        <f t="shared" si="0"/>
        <v>8.5800000000000001</v>
      </c>
      <c r="F19" s="62">
        <f t="shared" si="0"/>
        <v>8.8900000000000006</v>
      </c>
      <c r="G19" s="62">
        <f t="shared" si="0"/>
        <v>9.2100000000000009</v>
      </c>
      <c r="H19" s="62">
        <f t="shared" si="0"/>
        <v>9.5299999999999994</v>
      </c>
      <c r="I19" s="62">
        <f t="shared" si="0"/>
        <v>9.8399999999999999</v>
      </c>
      <c r="J19" s="62">
        <f t="shared" si="0"/>
        <v>10</v>
      </c>
      <c r="K19" s="62" t="str">
        <f>IFERROR(IF(K125=0,"",K125),"")</f>
        <v/>
      </c>
      <c r="L19" s="62" t="str">
        <f>IFERROR(IF(L125=0,"",L125),"")</f>
        <v/>
      </c>
      <c r="M19" s="62" t="str">
        <f t="shared" si="0"/>
        <v/>
      </c>
      <c r="N19" s="62" t="str">
        <f t="shared" si="0"/>
        <v/>
      </c>
      <c r="O19" s="62" t="str">
        <f t="shared" si="0"/>
        <v/>
      </c>
      <c r="P19" s="62" t="str">
        <f t="shared" si="0"/>
        <v/>
      </c>
      <c r="Q19" s="62" t="str">
        <f t="shared" si="0"/>
        <v/>
      </c>
      <c r="R19" s="63" t="str">
        <f>IFERROR(IF(R125=0,"",R125),"")</f>
        <v/>
      </c>
      <c r="S19" s="139" t="s">
        <v>60</v>
      </c>
      <c r="T19" s="140"/>
      <c r="U19" s="36">
        <f>IF(S14=2,AE14,AE35)</f>
        <v>10</v>
      </c>
      <c r="V19" s="172"/>
      <c r="W19" s="3"/>
      <c r="Y19" s="2"/>
      <c r="Z19" s="2"/>
      <c r="AA19" s="6"/>
      <c r="AB19" s="6"/>
      <c r="AC19" s="6"/>
      <c r="AD19" s="6"/>
      <c r="AE19" s="1"/>
      <c r="AF19" s="1"/>
    </row>
    <row r="20" spans="1:32" ht="18.75" thickBot="1">
      <c r="A20" s="3"/>
      <c r="B20" s="146" t="s">
        <v>38</v>
      </c>
      <c r="C20" s="147"/>
      <c r="D20" s="58">
        <f t="shared" si="1" ref="D20:Q20">IFERROR(IF(D126=0,"",D126),"")</f>
        <v>2</v>
      </c>
      <c r="E20" s="58">
        <f t="shared" si="1"/>
        <v>2</v>
      </c>
      <c r="F20" s="58">
        <f t="shared" si="1"/>
        <v>2</v>
      </c>
      <c r="G20" s="58">
        <f t="shared" si="1"/>
        <v>2</v>
      </c>
      <c r="H20" s="58">
        <f t="shared" si="1"/>
        <v>2</v>
      </c>
      <c r="I20" s="58">
        <f t="shared" si="1"/>
        <v>2</v>
      </c>
      <c r="J20" s="58">
        <f t="shared" si="1"/>
        <v>1</v>
      </c>
      <c r="K20" s="58" t="str">
        <f t="shared" si="1"/>
        <v/>
      </c>
      <c r="L20" s="58" t="str">
        <f>IFERROR(IF(L126=0,"",L126),"")</f>
        <v/>
      </c>
      <c r="M20" s="58" t="str">
        <f>IFERROR(IF(M126=0,"",M126),"")</f>
        <v/>
      </c>
      <c r="N20" s="58" t="str">
        <f>IFERROR(IF(N126=0,"",N126),"")</f>
        <v/>
      </c>
      <c r="O20" s="58" t="str">
        <f t="shared" si="1"/>
        <v/>
      </c>
      <c r="P20" s="58" t="str">
        <f t="shared" si="1"/>
        <v/>
      </c>
      <c r="Q20" s="58" t="str">
        <f t="shared" si="1"/>
        <v/>
      </c>
      <c r="R20" s="59" t="str">
        <f>IFERROR(IF(R126=0,"",R126),"")</f>
        <v/>
      </c>
      <c r="S20" s="176" t="s">
        <v>64</v>
      </c>
      <c r="T20" s="177"/>
      <c r="U20" s="43">
        <f>IF(S14=2,AE15,AE36)</f>
        <v>3</v>
      </c>
      <c r="V20" s="172"/>
      <c r="W20" s="3"/>
      <c r="Y20" s="68" t="s">
        <v>57</v>
      </c>
      <c r="Z20" s="68"/>
      <c r="AA20" s="68"/>
      <c r="AB20" s="69" t="s">
        <v>58</v>
      </c>
      <c r="AC20" s="69"/>
      <c r="AD20" s="69"/>
      <c r="AE20" s="1"/>
      <c r="AF20" s="1"/>
    </row>
    <row r="21" spans="1:32" ht="19.5" thickTop="1" thickBot="1">
      <c r="A21" s="3"/>
      <c r="B21" s="144" t="s">
        <v>39</v>
      </c>
      <c r="C21" s="145"/>
      <c r="D21" s="62" t="str">
        <f>IFERROR(IF(D94=0,"",D94),"")</f>
        <v/>
      </c>
      <c r="E21" s="62" t="str">
        <f t="shared" si="2" ref="E21:P21">IFERROR(IF(E94=0,"",E94),"")</f>
        <v/>
      </c>
      <c r="F21" s="62" t="str">
        <f t="shared" si="2"/>
        <v/>
      </c>
      <c r="G21" s="62" t="str">
        <f t="shared" si="2"/>
        <v/>
      </c>
      <c r="H21" s="62" t="str">
        <f t="shared" si="2"/>
        <v/>
      </c>
      <c r="I21" s="62" t="str">
        <f t="shared" si="2"/>
        <v/>
      </c>
      <c r="J21" s="62" t="str">
        <f t="shared" si="2"/>
        <v/>
      </c>
      <c r="K21" s="62" t="str">
        <f t="shared" si="2"/>
        <v/>
      </c>
      <c r="L21" s="62" t="str">
        <f t="shared" si="2"/>
        <v/>
      </c>
      <c r="M21" s="62" t="str">
        <f t="shared" si="2"/>
        <v/>
      </c>
      <c r="N21" s="62" t="str">
        <f t="shared" si="2"/>
        <v/>
      </c>
      <c r="O21" s="62" t="str">
        <f t="shared" si="2"/>
        <v/>
      </c>
      <c r="P21" s="62" t="str">
        <f t="shared" si="2"/>
        <v/>
      </c>
      <c r="Q21" s="62" t="str">
        <f>IFERROR(IF(Q94=0,"",Q94),"")</f>
        <v/>
      </c>
      <c r="R21" s="63" t="str">
        <f>IFERROR(IF(R127=0,"",R127),"")</f>
        <v/>
      </c>
      <c r="S21" s="35">
        <f>K7-(S12*S13)</f>
        <v>113</v>
      </c>
      <c r="T21" s="132" t="s">
        <v>83</v>
      </c>
      <c r="U21" s="133"/>
      <c r="V21" s="172"/>
      <c r="W21" s="3"/>
      <c r="Y21" s="2">
        <f>S12/2</f>
        <v>2</v>
      </c>
      <c r="Z21" s="27"/>
      <c r="AA21" s="6"/>
      <c r="AB21" s="27">
        <f>S12/2</f>
        <v>2</v>
      </c>
      <c r="AC21" s="6"/>
      <c r="AD21" s="6"/>
      <c r="AE21" s="1"/>
      <c r="AF21" s="1"/>
    </row>
    <row r="22" spans="1:32" ht="18.75" thickBot="1">
      <c r="A22" s="3"/>
      <c r="B22" s="146" t="s">
        <v>38</v>
      </c>
      <c r="C22" s="147"/>
      <c r="D22" s="60" t="str">
        <f t="shared" si="3" ref="D22:Q22">IFERROR(IF(D128=0,"",D128),"")</f>
        <v/>
      </c>
      <c r="E22" s="58" t="str">
        <f t="shared" si="3"/>
        <v/>
      </c>
      <c r="F22" s="58" t="str">
        <f t="shared" si="3"/>
        <v/>
      </c>
      <c r="G22" s="58" t="str">
        <f t="shared" si="3"/>
        <v/>
      </c>
      <c r="H22" s="58" t="str">
        <f t="shared" si="3"/>
        <v/>
      </c>
      <c r="I22" s="58" t="str">
        <f t="shared" si="3"/>
        <v/>
      </c>
      <c r="J22" s="58" t="str">
        <f t="shared" si="3"/>
        <v/>
      </c>
      <c r="K22" s="58" t="str">
        <f t="shared" si="3"/>
        <v/>
      </c>
      <c r="L22" s="58" t="str">
        <f t="shared" si="3"/>
        <v/>
      </c>
      <c r="M22" s="58" t="str">
        <f t="shared" si="3"/>
        <v/>
      </c>
      <c r="N22" s="58" t="str">
        <f t="shared" si="3"/>
        <v/>
      </c>
      <c r="O22" s="58" t="str">
        <f t="shared" si="3"/>
        <v/>
      </c>
      <c r="P22" s="58" t="str">
        <f t="shared" si="3"/>
        <v/>
      </c>
      <c r="Q22" s="58" t="str">
        <f t="shared" si="3"/>
        <v/>
      </c>
      <c r="R22" s="61" t="str">
        <f>IFERROR(IF(R128=0,"",R128),"")</f>
        <v/>
      </c>
      <c r="S22" s="44">
        <f>K9-((S8*(S10*S11)))</f>
        <v>472</v>
      </c>
      <c r="T22" s="134" t="s">
        <v>55</v>
      </c>
      <c r="U22" s="135"/>
      <c r="V22" s="172"/>
      <c r="W22" s="3"/>
      <c r="Y22" s="2">
        <f>Y21/O10</f>
        <v>1.6877637130801686</v>
      </c>
      <c r="Z22" s="27">
        <f>ROUNDDOWN(Y22,0)</f>
        <v>1</v>
      </c>
      <c r="AA22" s="27" t="s">
        <v>53</v>
      </c>
      <c r="AB22" s="27">
        <f>(AB21/O10)+(O10/(2*O10))</f>
        <v>2.1877637130801686</v>
      </c>
      <c r="AC22" s="6">
        <f>ROUNDDOWN(AB22,0)</f>
        <v>2</v>
      </c>
      <c r="AD22" s="6" t="s">
        <v>53</v>
      </c>
      <c r="AE22" s="1"/>
      <c r="AF22" s="1"/>
    </row>
    <row r="23" spans="1:32" ht="24.75" customHeight="1" thickTop="1" thickBot="1">
      <c r="A23" s="3"/>
      <c r="B23" s="45"/>
      <c r="C23" s="46"/>
      <c r="D23" s="46"/>
      <c r="E23" s="89" t="s">
        <v>103</v>
      </c>
      <c r="F23" s="90"/>
      <c r="G23" s="90"/>
      <c r="H23" s="90"/>
      <c r="I23" s="91"/>
      <c r="J23" s="65" t="s">
        <v>100</v>
      </c>
      <c r="K23" s="51"/>
      <c r="L23" s="98" t="s">
        <v>93</v>
      </c>
      <c r="M23" s="99"/>
      <c r="N23" s="99"/>
      <c r="O23" s="100"/>
      <c r="P23" s="55" t="s">
        <v>92</v>
      </c>
      <c r="Q23" s="78" t="s">
        <v>90</v>
      </c>
      <c r="R23" s="81">
        <v>620000</v>
      </c>
      <c r="S23" s="82"/>
      <c r="T23" s="178" t="s">
        <v>86</v>
      </c>
      <c r="U23" s="179"/>
      <c r="V23" s="172"/>
      <c r="W23" s="3"/>
      <c r="Y23" s="2"/>
      <c r="Z23" s="27"/>
      <c r="AA23" s="27"/>
      <c r="AB23" s="27"/>
      <c r="AC23" s="6"/>
      <c r="AD23" s="6"/>
      <c r="AE23" s="1"/>
      <c r="AF23" s="1"/>
    </row>
    <row r="24" spans="1:32" ht="23.25" customHeight="1" thickBot="1">
      <c r="A24" s="3"/>
      <c r="B24" s="47"/>
      <c r="C24" s="48"/>
      <c r="D24" s="48"/>
      <c r="E24" s="92" t="s">
        <v>104</v>
      </c>
      <c r="F24" s="93"/>
      <c r="G24" s="93"/>
      <c r="H24" s="93"/>
      <c r="I24" s="94"/>
      <c r="J24" s="66" t="s">
        <v>101</v>
      </c>
      <c r="K24" s="52"/>
      <c r="L24" s="92" t="s">
        <v>97</v>
      </c>
      <c r="M24" s="93"/>
      <c r="N24" s="93"/>
      <c r="O24" s="94"/>
      <c r="P24" s="56" t="s">
        <v>94</v>
      </c>
      <c r="Q24" s="79"/>
      <c r="R24" s="83">
        <v>650000</v>
      </c>
      <c r="S24" s="84"/>
      <c r="T24" s="180" t="s">
        <v>87</v>
      </c>
      <c r="U24" s="181"/>
      <c r="V24" s="172"/>
      <c r="W24" s="3"/>
      <c r="Y24" s="2"/>
      <c r="Z24" s="69"/>
      <c r="AA24" s="69"/>
      <c r="AB24" s="27"/>
      <c r="AC24" s="6"/>
      <c r="AD24" s="6"/>
      <c r="AE24" s="1"/>
      <c r="AF24" s="1"/>
    </row>
    <row r="25" spans="1:32" ht="24" customHeight="1" thickBot="1">
      <c r="A25" s="3"/>
      <c r="B25" s="74" t="s">
        <v>91</v>
      </c>
      <c r="C25" s="75"/>
      <c r="D25" s="75"/>
      <c r="E25" s="92" t="s">
        <v>105</v>
      </c>
      <c r="F25" s="93"/>
      <c r="G25" s="93"/>
      <c r="H25" s="93"/>
      <c r="I25" s="94"/>
      <c r="J25" s="67" t="s">
        <v>102</v>
      </c>
      <c r="K25" s="52"/>
      <c r="L25" s="92" t="s">
        <v>98</v>
      </c>
      <c r="M25" s="93"/>
      <c r="N25" s="93"/>
      <c r="O25" s="94"/>
      <c r="P25" s="57" t="s">
        <v>95</v>
      </c>
      <c r="Q25" s="79"/>
      <c r="R25" s="85">
        <f>R23*K10</f>
        <v>760120000</v>
      </c>
      <c r="S25" s="86"/>
      <c r="T25" s="180" t="s">
        <v>88</v>
      </c>
      <c r="U25" s="181"/>
      <c r="V25" s="172"/>
      <c r="W25" s="3"/>
      <c r="Y25" s="2"/>
      <c r="Z25" s="27"/>
      <c r="AA25" s="27"/>
      <c r="AB25" s="27"/>
      <c r="AC25" s="6"/>
      <c r="AD25" s="6"/>
      <c r="AE25" s="1"/>
      <c r="AF25" s="1"/>
    </row>
    <row r="26" spans="1:32" ht="25.5" customHeight="1" thickBot="1">
      <c r="A26" s="3"/>
      <c r="B26" s="76" t="s">
        <v>117</v>
      </c>
      <c r="C26" s="77"/>
      <c r="D26" s="77"/>
      <c r="E26" s="95"/>
      <c r="F26" s="96"/>
      <c r="G26" s="96"/>
      <c r="H26" s="96"/>
      <c r="I26" s="97"/>
      <c r="J26" s="54"/>
      <c r="K26" s="53"/>
      <c r="L26" s="101" t="s">
        <v>99</v>
      </c>
      <c r="M26" s="102"/>
      <c r="N26" s="102"/>
      <c r="O26" s="103"/>
      <c r="P26" s="64" t="s">
        <v>96</v>
      </c>
      <c r="Q26" s="80"/>
      <c r="R26" s="87">
        <f>R24*K14</f>
        <v>712400000</v>
      </c>
      <c r="S26" s="88"/>
      <c r="T26" s="72" t="s">
        <v>89</v>
      </c>
      <c r="U26" s="73"/>
      <c r="V26" s="172"/>
      <c r="W26" s="3"/>
      <c r="Y26" s="2"/>
      <c r="Z26" s="27"/>
      <c r="AA26" s="27"/>
      <c r="AB26" s="27"/>
      <c r="AC26" s="6"/>
      <c r="AD26" s="6"/>
      <c r="AE26" s="1"/>
      <c r="AF26" s="1"/>
    </row>
    <row r="27" spans="1:32" ht="24.75" customHeight="1" thickTop="1">
      <c r="A27" s="3"/>
      <c r="B27" s="165" t="s">
        <v>115</v>
      </c>
      <c r="C27" s="166"/>
      <c r="D27" s="166"/>
      <c r="E27" s="166"/>
      <c r="F27" s="166"/>
      <c r="G27" s="166"/>
      <c r="H27" s="166"/>
      <c r="I27" s="166"/>
      <c r="J27" s="166"/>
      <c r="K27" s="166"/>
      <c r="L27" s="166"/>
      <c r="M27" s="166"/>
      <c r="N27" s="166"/>
      <c r="O27" s="166"/>
      <c r="P27" s="166"/>
      <c r="Q27" s="166"/>
      <c r="R27" s="166"/>
      <c r="S27" s="166"/>
      <c r="T27" s="166"/>
      <c r="U27" s="167"/>
      <c r="V27" s="172"/>
      <c r="W27" s="3"/>
      <c r="Y27" s="2">
        <f>Y22-Z22</f>
        <v>0.68776371308016859</v>
      </c>
      <c r="Z27" s="27"/>
      <c r="AA27" s="27"/>
      <c r="AB27" s="27">
        <f>AB22-AC22</f>
        <v>0.18776371308016859</v>
      </c>
      <c r="AC27" s="6">
        <f>IF((S12/2)&lt;((O10/2)+O10),AC22,AC22+1)</f>
        <v>3</v>
      </c>
      <c r="AD27" s="6"/>
      <c r="AE27" s="1"/>
      <c r="AF27" s="1"/>
    </row>
    <row r="28" spans="1:32" ht="24.75" customHeight="1">
      <c r="A28" s="3"/>
      <c r="B28" s="168"/>
      <c r="C28" s="169"/>
      <c r="D28" s="169"/>
      <c r="E28" s="169"/>
      <c r="F28" s="169"/>
      <c r="G28" s="169"/>
      <c r="H28" s="169"/>
      <c r="I28" s="169"/>
      <c r="J28" s="169"/>
      <c r="K28" s="169"/>
      <c r="L28" s="169"/>
      <c r="M28" s="169"/>
      <c r="N28" s="169"/>
      <c r="O28" s="169"/>
      <c r="P28" s="169"/>
      <c r="Q28" s="169"/>
      <c r="R28" s="169"/>
      <c r="S28" s="169"/>
      <c r="T28" s="169"/>
      <c r="U28" s="170"/>
      <c r="V28" s="172"/>
      <c r="W28" s="3"/>
      <c r="Y28" s="2"/>
      <c r="Z28" s="27"/>
      <c r="AA28" s="27"/>
      <c r="AB28" s="27"/>
      <c r="AC28" s="6"/>
      <c r="AD28" s="6"/>
      <c r="AE28" s="1"/>
      <c r="AF28" s="1"/>
    </row>
    <row r="29" spans="1:32" ht="24.75" customHeight="1">
      <c r="A29" s="3"/>
      <c r="B29" s="168"/>
      <c r="C29" s="169"/>
      <c r="D29" s="169"/>
      <c r="E29" s="169"/>
      <c r="F29" s="169"/>
      <c r="G29" s="169"/>
      <c r="H29" s="169"/>
      <c r="I29" s="169"/>
      <c r="J29" s="169"/>
      <c r="K29" s="169"/>
      <c r="L29" s="169"/>
      <c r="M29" s="169"/>
      <c r="N29" s="169"/>
      <c r="O29" s="169"/>
      <c r="P29" s="169"/>
      <c r="Q29" s="169"/>
      <c r="R29" s="169"/>
      <c r="S29" s="169"/>
      <c r="T29" s="169"/>
      <c r="U29" s="170"/>
      <c r="V29" s="172"/>
      <c r="W29" s="3"/>
      <c r="Y29" s="2"/>
      <c r="Z29" s="27"/>
      <c r="AA29" s="27"/>
      <c r="AB29" s="27"/>
      <c r="AC29" s="6"/>
      <c r="AD29" s="6"/>
      <c r="AE29" s="1"/>
      <c r="AF29" s="1"/>
    </row>
    <row r="30" spans="1:32" ht="24.75" customHeight="1">
      <c r="A30" s="3"/>
      <c r="B30" s="168"/>
      <c r="C30" s="169"/>
      <c r="D30" s="169"/>
      <c r="E30" s="169"/>
      <c r="F30" s="169"/>
      <c r="G30" s="169"/>
      <c r="H30" s="169"/>
      <c r="I30" s="169"/>
      <c r="J30" s="169"/>
      <c r="K30" s="169"/>
      <c r="L30" s="169"/>
      <c r="M30" s="169"/>
      <c r="N30" s="169"/>
      <c r="O30" s="169"/>
      <c r="P30" s="169"/>
      <c r="Q30" s="169"/>
      <c r="R30" s="169"/>
      <c r="S30" s="169"/>
      <c r="T30" s="169"/>
      <c r="U30" s="170"/>
      <c r="V30" s="172"/>
      <c r="W30" s="3"/>
      <c r="Y30" s="2"/>
      <c r="Z30" s="27"/>
      <c r="AA30" s="27"/>
      <c r="AB30" s="27"/>
      <c r="AC30" s="6"/>
      <c r="AD30" s="6"/>
      <c r="AE30" s="1"/>
      <c r="AF30" s="1"/>
    </row>
    <row r="31" spans="1:32" ht="24" customHeight="1" thickBot="1">
      <c r="A31" s="3"/>
      <c r="B31" s="168"/>
      <c r="C31" s="169"/>
      <c r="D31" s="169"/>
      <c r="E31" s="169"/>
      <c r="F31" s="169"/>
      <c r="G31" s="169"/>
      <c r="H31" s="169"/>
      <c r="I31" s="169"/>
      <c r="J31" s="169"/>
      <c r="K31" s="169"/>
      <c r="L31" s="169"/>
      <c r="M31" s="169"/>
      <c r="N31" s="169"/>
      <c r="O31" s="169"/>
      <c r="P31" s="169"/>
      <c r="Q31" s="169"/>
      <c r="R31" s="169"/>
      <c r="S31" s="169"/>
      <c r="T31" s="169"/>
      <c r="U31" s="170"/>
      <c r="V31" s="172"/>
      <c r="W31" s="3"/>
      <c r="Y31" s="2">
        <f>(O8/2)-(Z22*O10)</f>
        <v>6.3149999999999995</v>
      </c>
      <c r="Z31" s="2"/>
      <c r="AA31" s="6"/>
      <c r="AB31" s="6">
        <f>(O8/2)+(O10/2)-(AC22*O10)</f>
        <v>5.7224999999999993</v>
      </c>
      <c r="AC31" s="6"/>
      <c r="AD31" s="6"/>
      <c r="AE31" s="1"/>
      <c r="AF31" s="1"/>
    </row>
    <row r="32" spans="1:32" ht="27" customHeight="1" thickTop="1" thickBot="1">
      <c r="A32" s="3"/>
      <c r="B32" s="162" t="s">
        <v>114</v>
      </c>
      <c r="C32" s="163"/>
      <c r="D32" s="163"/>
      <c r="E32" s="163"/>
      <c r="F32" s="163"/>
      <c r="G32" s="163"/>
      <c r="H32" s="163"/>
      <c r="I32" s="163"/>
      <c r="J32" s="163"/>
      <c r="K32" s="163"/>
      <c r="L32" s="163"/>
      <c r="M32" s="163"/>
      <c r="N32" s="163"/>
      <c r="O32" s="163"/>
      <c r="P32" s="163"/>
      <c r="Q32" s="163"/>
      <c r="R32" s="163"/>
      <c r="S32" s="163"/>
      <c r="T32" s="163"/>
      <c r="U32" s="163"/>
      <c r="V32" s="164"/>
      <c r="W32" s="3"/>
      <c r="Y32" s="2"/>
      <c r="Z32" s="2"/>
      <c r="AA32" s="6"/>
      <c r="AB32" s="6"/>
      <c r="AC32" s="6"/>
      <c r="AD32" s="6"/>
      <c r="AE32" s="1"/>
      <c r="AF32" s="1"/>
    </row>
    <row r="33" spans="1:32" ht="18" customHeight="1" thickTop="1">
      <c r="A33" s="3"/>
      <c r="B33" s="3"/>
      <c r="C33" s="3"/>
      <c r="D33" s="3"/>
      <c r="E33" s="3"/>
      <c r="F33" s="3"/>
      <c r="G33" s="3"/>
      <c r="H33" s="3"/>
      <c r="I33" s="3"/>
      <c r="J33" s="3"/>
      <c r="K33" s="28">
        <f>IFERROR(INT((O9+(O12*2))/O13),0)</f>
        <v>55</v>
      </c>
      <c r="L33" s="28" t="s">
        <v>12</v>
      </c>
      <c r="M33" s="42"/>
      <c r="N33" s="28"/>
      <c r="O33" s="40"/>
      <c r="P33" s="28"/>
      <c r="Q33" s="28"/>
      <c r="R33" s="28"/>
      <c r="S33" s="28">
        <f>IF(S14=2,AB18,AB38)</f>
        <v>2</v>
      </c>
      <c r="T33" s="28" t="s">
        <v>63</v>
      </c>
      <c r="U33" s="3"/>
      <c r="V33" s="3"/>
      <c r="W33" s="3"/>
      <c r="Y33" s="2">
        <f>Y31/O10</f>
        <v>5.329113924050632</v>
      </c>
      <c r="Z33" s="2">
        <f>ROUNDDOWN(Y33,0)</f>
        <v>5</v>
      </c>
      <c r="AA33" s="6" t="s">
        <v>52</v>
      </c>
      <c r="AB33" s="6">
        <f>AB31/O10</f>
        <v>4.829113924050632</v>
      </c>
      <c r="AC33" s="6">
        <f>ROUNDDOWN(AB33,0)</f>
        <v>4</v>
      </c>
      <c r="AD33" s="6"/>
      <c r="AE33" s="1"/>
      <c r="AF33" s="1"/>
    </row>
    <row r="34" spans="1:32" ht="14.25">
      <c r="A34" s="3"/>
      <c r="B34" s="3"/>
      <c r="C34" s="3"/>
      <c r="D34" s="3"/>
      <c r="E34" s="3"/>
      <c r="F34" s="3"/>
      <c r="G34" s="3"/>
      <c r="H34" s="3"/>
      <c r="I34" s="3"/>
      <c r="J34" s="3"/>
      <c r="K34" s="28"/>
      <c r="L34" s="28"/>
      <c r="M34" s="42"/>
      <c r="N34" s="28"/>
      <c r="O34" s="40"/>
      <c r="P34" s="28">
        <f>(O9-(S8*S7))/2</f>
        <v>0</v>
      </c>
      <c r="Q34" s="28"/>
      <c r="R34" s="28"/>
      <c r="S34" s="28"/>
      <c r="T34" s="28"/>
      <c r="U34" s="3"/>
      <c r="V34" s="3"/>
      <c r="W34" s="3"/>
      <c r="Y34" s="2">
        <f>(Y33-Z33)*O10</f>
        <v>0.38999999999999896</v>
      </c>
      <c r="Z34" s="2"/>
      <c r="AA34" s="6"/>
      <c r="AB34" s="6">
        <f>(AB33-AC33)*O10</f>
        <v>0.98249999999999893</v>
      </c>
      <c r="AC34" s="6"/>
      <c r="AD34" s="6"/>
      <c r="AE34" s="1"/>
      <c r="AF34" s="1"/>
    </row>
    <row r="35" spans="1:32" ht="14.25">
      <c r="A35" s="3"/>
      <c r="B35" s="3"/>
      <c r="C35" s="3"/>
      <c r="D35" s="3"/>
      <c r="E35" s="3"/>
      <c r="F35" s="3"/>
      <c r="G35" s="3"/>
      <c r="H35" s="3"/>
      <c r="I35" s="3"/>
      <c r="J35" s="3"/>
      <c r="K35" s="28">
        <f>IFERROR(INT(O9/O10),0)</f>
        <v>50</v>
      </c>
      <c r="L35" s="28" t="s">
        <v>22</v>
      </c>
      <c r="M35" s="42"/>
      <c r="N35" s="28"/>
      <c r="O35" s="40"/>
      <c r="P35" s="28">
        <f>S8+1</f>
        <v>11</v>
      </c>
      <c r="Q35" s="28" t="s">
        <v>70</v>
      </c>
      <c r="R35" s="28"/>
      <c r="S35" s="28"/>
      <c r="T35" s="28"/>
      <c r="U35" s="3"/>
      <c r="V35" s="3"/>
      <c r="W35" s="3"/>
      <c r="Y35" s="2"/>
      <c r="Z35" s="2"/>
      <c r="AA35" s="6"/>
      <c r="AB35" s="6"/>
      <c r="AC35" s="6"/>
      <c r="AD35" s="6"/>
      <c r="AE35" s="6">
        <f>IF(I39=0,Z36,AC36)</f>
        <v>10</v>
      </c>
      <c r="AF35" s="1"/>
    </row>
    <row r="36" spans="1:32" ht="14.25">
      <c r="A36" s="3"/>
      <c r="B36" s="3"/>
      <c r="C36" s="3"/>
      <c r="D36" s="3"/>
      <c r="E36" s="3"/>
      <c r="F36" s="3"/>
      <c r="G36" s="3"/>
      <c r="H36" s="3"/>
      <c r="I36" s="3"/>
      <c r="J36" s="3"/>
      <c r="K36" s="42"/>
      <c r="L36" s="42"/>
      <c r="M36" s="42"/>
      <c r="N36" s="28"/>
      <c r="O36" s="40"/>
      <c r="P36" s="28">
        <f>(O9/S7)</f>
        <v>10</v>
      </c>
      <c r="Q36" s="28"/>
      <c r="R36" s="28"/>
      <c r="S36" s="28">
        <f>(S7-S10)/2</f>
        <v>2</v>
      </c>
      <c r="T36" s="28" t="s">
        <v>65</v>
      </c>
      <c r="U36" s="3"/>
      <c r="V36" s="3"/>
      <c r="W36" s="3"/>
      <c r="Y36" s="2"/>
      <c r="Z36" s="2">
        <f>(Z33*2)+(ROUNDUP(Y34,0))*2</f>
        <v>12</v>
      </c>
      <c r="AA36" s="6"/>
      <c r="AB36" s="6"/>
      <c r="AC36" s="6">
        <f>((AC33*2)+(ROUNDUP(AB34,0))*2)</f>
        <v>10</v>
      </c>
      <c r="AD36" s="6"/>
      <c r="AE36" s="6">
        <f>IF(I39=0,Z37,AC27)</f>
        <v>3</v>
      </c>
      <c r="AF36" s="1"/>
    </row>
    <row r="37" spans="1:32" ht="14.25">
      <c r="A37" s="3"/>
      <c r="B37" s="3"/>
      <c r="C37" s="3"/>
      <c r="D37" s="3"/>
      <c r="E37" s="3"/>
      <c r="F37" s="3"/>
      <c r="G37" s="3"/>
      <c r="H37" s="3"/>
      <c r="I37" s="3"/>
      <c r="J37" s="3"/>
      <c r="K37" s="3"/>
      <c r="L37" s="3"/>
      <c r="M37" s="3"/>
      <c r="N37" s="3"/>
      <c r="O37" s="40"/>
      <c r="P37" s="40"/>
      <c r="Q37" s="40"/>
      <c r="R37" s="40"/>
      <c r="S37" s="40"/>
      <c r="T37" s="40"/>
      <c r="U37" s="3"/>
      <c r="V37" s="3"/>
      <c r="W37" s="3"/>
      <c r="Y37" s="2"/>
      <c r="Z37" s="2">
        <f>Z22*2</f>
        <v>2</v>
      </c>
      <c r="AA37" s="6"/>
      <c r="AB37" s="6"/>
      <c r="AC37" s="6"/>
      <c r="AD37" s="6"/>
      <c r="AE37" s="1"/>
      <c r="AF37" s="1"/>
    </row>
    <row r="38" spans="1:32" ht="14.25">
      <c r="A38" s="3"/>
      <c r="B38" s="3"/>
      <c r="C38" s="3"/>
      <c r="D38" s="3"/>
      <c r="E38" s="3"/>
      <c r="F38" s="3"/>
      <c r="G38" s="3"/>
      <c r="H38" s="3"/>
      <c r="I38" s="3"/>
      <c r="J38" s="3"/>
      <c r="K38" s="3"/>
      <c r="L38" s="3"/>
      <c r="M38" s="3"/>
      <c r="N38" s="3"/>
      <c r="O38" s="40"/>
      <c r="P38" s="40"/>
      <c r="Q38" s="40"/>
      <c r="R38" s="40"/>
      <c r="S38" s="40"/>
      <c r="T38" s="40"/>
      <c r="U38" s="3"/>
      <c r="V38" s="3"/>
      <c r="W38" s="3"/>
      <c r="Y38" s="2"/>
      <c r="Z38" s="2"/>
      <c r="AA38" s="6"/>
      <c r="AB38" s="6">
        <f>IF(I39=0,Z37,AC22)</f>
        <v>2</v>
      </c>
      <c r="AC38" s="6"/>
      <c r="AD38" s="6"/>
      <c r="AE38" s="1"/>
      <c r="AF38" s="1"/>
    </row>
    <row r="39" spans="2:31" ht="14.25">
      <c r="B39" s="1"/>
      <c r="C39" s="1"/>
      <c r="D39" s="1"/>
      <c r="E39" s="1"/>
      <c r="F39" s="5"/>
      <c r="G39" s="2"/>
      <c r="H39" s="2">
        <f>(L40-E40)*O10</f>
        <v>0.39000000000000001</v>
      </c>
      <c r="I39" s="2">
        <f>IF(H40&gt;((O10/2)+0.02),1,0)</f>
        <v>1</v>
      </c>
      <c r="J39" s="68" t="s">
        <v>113</v>
      </c>
      <c r="K39" s="68"/>
      <c r="L39" s="2"/>
      <c r="M39" s="2"/>
      <c r="N39" s="2"/>
      <c r="O39" s="2"/>
      <c r="P39" s="2"/>
      <c r="Q39" s="2"/>
      <c r="R39" s="2">
        <f>(SQRT((POWER((O8/2),2))+(POWER(J40,2))))+O11</f>
        <v>8.762087348130013</v>
      </c>
      <c r="S39" s="6"/>
      <c r="T39" s="1"/>
      <c r="U39" s="5"/>
      <c r="V39" s="5"/>
      <c r="W39" s="5"/>
      <c r="X39" s="5"/>
      <c r="Y39" s="2"/>
      <c r="Z39" s="2"/>
      <c r="AA39" s="6"/>
      <c r="AB39" s="6"/>
      <c r="AC39" s="6"/>
      <c r="AD39" s="6"/>
      <c r="AE39" s="1"/>
    </row>
    <row r="40" spans="2:31" ht="14.25">
      <c r="B40" s="1"/>
      <c r="C40" s="1"/>
      <c r="D40" s="1"/>
      <c r="E40" s="25">
        <f>IFERROR(INT(L40),0)</f>
        <v>6</v>
      </c>
      <c r="F40" s="2">
        <f>(O8/2)-(O10/2)</f>
        <v>6.9074999999999998</v>
      </c>
      <c r="G40" s="2">
        <f>F40/O10</f>
        <v>5.829113924050632</v>
      </c>
      <c r="H40" s="2">
        <f>(G40-INT(G40))*O10</f>
        <v>0.98249999999999893</v>
      </c>
      <c r="I40" s="2"/>
      <c r="J40" s="2">
        <f>O6-O7</f>
        <v>2</v>
      </c>
      <c r="K40" s="2">
        <f>O8/2</f>
        <v>7.5</v>
      </c>
      <c r="L40" s="2">
        <f>K40/O10</f>
        <v>6.3291139240506329</v>
      </c>
      <c r="M40" s="2">
        <f>IF(K11=0,0,IF(K11&lt;=0.471,1,2))</f>
        <v>2</v>
      </c>
      <c r="N40" s="2"/>
      <c r="O40" s="2">
        <f>IF(K12=0,0,IF(K12&lt;=0.471,1,2))</f>
        <v>2</v>
      </c>
      <c r="P40" s="2"/>
      <c r="Q40" s="2">
        <f>(O9+(O12*2))/O13</f>
        <v>55.605381165919283</v>
      </c>
      <c r="R40" s="2">
        <f>(IF(R39&gt;13.5,R39+0.2,R39))</f>
        <v>8.762087348130013</v>
      </c>
      <c r="S40" s="6"/>
      <c r="T40" s="1"/>
      <c r="U40" s="1"/>
      <c r="V40" s="1"/>
      <c r="W40" s="5"/>
      <c r="X40" s="5"/>
      <c r="Y40" s="2"/>
      <c r="Z40" s="2"/>
      <c r="AA40" s="6"/>
      <c r="AB40" s="6"/>
      <c r="AC40" s="6"/>
      <c r="AD40" s="6"/>
      <c r="AE40" s="1"/>
    </row>
    <row r="41" spans="2:31" ht="14.25">
      <c r="B41" s="1"/>
      <c r="C41" s="1"/>
      <c r="D41" s="1"/>
      <c r="E41" s="6">
        <f>IFERROR(IF(K12=0,K35,K35+1),0)</f>
        <v>51</v>
      </c>
      <c r="F41" s="2">
        <f>((K$41/100)*(H$40))+O$7</f>
        <v>8.2620000000000005</v>
      </c>
      <c r="G41" s="2">
        <f t="shared" si="4" ref="G41:G71">IF(F41&lt;=O$6,F41,0)</f>
        <v>8.2620000000000005</v>
      </c>
      <c r="H41" s="2">
        <f>IF(H40&gt;0.471,2,1)</f>
        <v>2</v>
      </c>
      <c r="I41" s="2">
        <f>G41*H41</f>
        <v>16.524000000000001</v>
      </c>
      <c r="J41" s="2"/>
      <c r="K41" s="2">
        <f>(J40/K40)*100</f>
        <v>26.666666666666668</v>
      </c>
      <c r="L41" s="2">
        <f>((K41/100)*K11)+O7</f>
        <v>8.2620000000000005</v>
      </c>
      <c r="M41" s="2">
        <f>IF(L41&lt;=O$6,L41,0)</f>
        <v>8.2620000000000005</v>
      </c>
      <c r="N41" s="2">
        <f>IF(K11&gt;0.45,2,IF(K11&lt;0.02,0,1))</f>
        <v>2</v>
      </c>
      <c r="O41" s="6">
        <f>ROUND(M41,2)</f>
        <v>8.2599999999999998</v>
      </c>
      <c r="P41" s="2">
        <f>O41*N41</f>
        <v>16.52</v>
      </c>
      <c r="Q41" s="2"/>
      <c r="R41" s="2">
        <f>R39-O14</f>
        <v>8.762087348130013</v>
      </c>
      <c r="S41" s="6"/>
      <c r="T41" s="1"/>
      <c r="U41" s="1"/>
      <c r="V41" s="1"/>
      <c r="W41" s="5"/>
      <c r="X41" s="5"/>
      <c r="Y41" s="2"/>
      <c r="Z41" s="2"/>
      <c r="AA41" s="6"/>
      <c r="AB41" s="6"/>
      <c r="AC41" s="6"/>
      <c r="AD41" s="6"/>
      <c r="AE41" s="1"/>
    </row>
    <row r="42" spans="2:31" ht="14.25">
      <c r="B42" s="1"/>
      <c r="C42" s="1"/>
      <c r="D42" s="6"/>
      <c r="E42" s="6"/>
      <c r="F42" s="2">
        <f>((K$41/100)*(H$40+O$10))+O$7</f>
        <v>8.5779999999999994</v>
      </c>
      <c r="G42" s="2">
        <f t="shared" si="4"/>
        <v>8.5779999999999994</v>
      </c>
      <c r="H42" s="2">
        <f>IF(G42&gt;0,2,0)</f>
        <v>2</v>
      </c>
      <c r="I42" s="2">
        <f t="shared" si="5" ref="I42:I71">G42*H42</f>
        <v>17.155999999999999</v>
      </c>
      <c r="J42" s="2"/>
      <c r="K42" s="2"/>
      <c r="L42" s="2">
        <f>((K$41/100)*(K$11+O$10))+O$7</f>
        <v>8.5779999999999994</v>
      </c>
      <c r="M42" s="2">
        <f t="shared" si="6" ref="M42:M71">IF(L42&lt;=O$6,L42,0)</f>
        <v>8.5779999999999994</v>
      </c>
      <c r="N42" s="2">
        <f t="shared" si="7" ref="N42:N71">IF(M42&gt;0,IF(I$39=1,IF(M42=O$6,1,2),2),0)</f>
        <v>2</v>
      </c>
      <c r="O42" s="6">
        <f>ROUND(M42,2)</f>
        <v>8.5800000000000001</v>
      </c>
      <c r="P42" s="2">
        <f t="shared" si="8" ref="P42:P71">O42*N42</f>
        <v>17.16</v>
      </c>
      <c r="Q42" s="2"/>
      <c r="R42" s="6"/>
      <c r="S42" s="6"/>
      <c r="T42" s="1"/>
      <c r="U42" s="2">
        <v>1</v>
      </c>
      <c r="V42" s="6">
        <f>(S36/O10)+P34</f>
        <v>1.6877637130801686</v>
      </c>
      <c r="W42" s="2">
        <f>ROUNDUP(V42,0)</f>
        <v>2</v>
      </c>
      <c r="X42" s="2" t="s">
        <v>52</v>
      </c>
      <c r="Y42" s="2"/>
      <c r="Z42" s="2"/>
      <c r="AA42" s="6"/>
      <c r="AB42" s="6"/>
      <c r="AC42" s="6">
        <f>IF(U42&lt;P35,W42,IF(U42=P35,W42-(S36/O10-P34*2),0))</f>
        <v>2</v>
      </c>
      <c r="AD42" s="6"/>
      <c r="AE42" s="1"/>
    </row>
    <row r="43" spans="2:31" ht="14.25">
      <c r="B43" s="1"/>
      <c r="C43" s="1"/>
      <c r="D43" s="6"/>
      <c r="E43" s="6"/>
      <c r="F43" s="2">
        <f>((K$41/100)*(H$40+O$10*2))+O$7</f>
        <v>8.8940000000000001</v>
      </c>
      <c r="G43" s="2">
        <f t="shared" si="4"/>
        <v>8.8940000000000001</v>
      </c>
      <c r="H43" s="2">
        <f t="shared" si="9" ref="H43:H71">IF(G43&gt;0,2,0)</f>
        <v>2</v>
      </c>
      <c r="I43" s="2">
        <f t="shared" si="5"/>
        <v>17.788</v>
      </c>
      <c r="J43" s="2"/>
      <c r="K43" s="2" t="b">
        <f>ISTEXT(O6)</f>
        <v>0</v>
      </c>
      <c r="L43" s="2">
        <f>((K$41/100)*(K$11+O$10*2))+O$7</f>
        <v>8.8940000000000001</v>
      </c>
      <c r="M43" s="2">
        <f t="shared" si="6"/>
        <v>8.8940000000000001</v>
      </c>
      <c r="N43" s="2">
        <f t="shared" si="7"/>
        <v>2</v>
      </c>
      <c r="O43" s="6">
        <f t="shared" si="10" ref="O43:O71">ROUND(M43,2)</f>
        <v>8.8900000000000006</v>
      </c>
      <c r="P43" s="2">
        <f t="shared" si="8"/>
        <v>17.780000000000001</v>
      </c>
      <c r="Q43" s="2"/>
      <c r="R43" s="6"/>
      <c r="S43" s="6"/>
      <c r="T43" s="1"/>
      <c r="U43" s="2"/>
      <c r="V43" s="6">
        <f>(W42-V42)*O10</f>
        <v>0.37000000000000022</v>
      </c>
      <c r="W43" s="2"/>
      <c r="X43" s="2"/>
      <c r="Y43" s="2"/>
      <c r="Z43" s="2"/>
      <c r="AA43" s="6"/>
      <c r="AB43" s="6"/>
      <c r="AC43" s="6"/>
      <c r="AD43" s="6"/>
      <c r="AE43" s="1"/>
    </row>
    <row r="44" spans="2:31" ht="14.25">
      <c r="B44" s="1"/>
      <c r="C44" s="1"/>
      <c r="D44" s="6"/>
      <c r="E44" s="6"/>
      <c r="F44" s="2">
        <f>((K$41/100)*(H$40+O$10*3))+O$7</f>
        <v>9.2099999999999991</v>
      </c>
      <c r="G44" s="2">
        <f t="shared" si="4"/>
        <v>9.2099999999999991</v>
      </c>
      <c r="H44" s="2">
        <f t="shared" si="9"/>
        <v>2</v>
      </c>
      <c r="I44" s="2">
        <f t="shared" si="5"/>
        <v>18.419999999999998</v>
      </c>
      <c r="J44" s="2"/>
      <c r="K44" s="2" t="b">
        <f>ISTEXT(O7)</f>
        <v>0</v>
      </c>
      <c r="L44" s="2">
        <f>((K$41/100)*(K$11+O$10*3))+O$7</f>
        <v>9.2099999999999991</v>
      </c>
      <c r="M44" s="2">
        <f t="shared" si="6"/>
        <v>9.2099999999999991</v>
      </c>
      <c r="N44" s="2">
        <f t="shared" si="7"/>
        <v>2</v>
      </c>
      <c r="O44" s="6">
        <f t="shared" si="10"/>
        <v>9.2100000000000009</v>
      </c>
      <c r="P44" s="2">
        <f t="shared" si="8"/>
        <v>18.420000000000002</v>
      </c>
      <c r="Q44" s="2">
        <f>IFERROR((L40-E40)*O10,0)</f>
        <v>0.39000000000000001</v>
      </c>
      <c r="R44" s="6"/>
      <c r="S44" s="6"/>
      <c r="T44" s="1"/>
      <c r="U44" s="2">
        <v>1</v>
      </c>
      <c r="V44" s="6">
        <f>((S36+S10)/O10)+P34</f>
        <v>3.3755274261603372</v>
      </c>
      <c r="W44" s="2">
        <f>IF(V44&lt;(Y44-0.02),ROUNDDOWN(V44-W42,0),ROUNDUP(V44-W42,0))</f>
        <v>1</v>
      </c>
      <c r="X44" s="2" t="s">
        <v>53</v>
      </c>
      <c r="Y44" s="2">
        <f>ROUNDUP(V44,0)</f>
        <v>4</v>
      </c>
      <c r="Z44" s="6">
        <f>INT(V44)</f>
        <v>3</v>
      </c>
      <c r="AA44" s="6"/>
      <c r="AB44" s="2">
        <f>IF(U44&lt;P35,W44,0)</f>
        <v>1</v>
      </c>
      <c r="AC44" s="6"/>
      <c r="AD44" s="6"/>
      <c r="AE44" s="1"/>
    </row>
    <row r="45" spans="2:31" ht="14.25">
      <c r="B45" s="1"/>
      <c r="C45" s="1"/>
      <c r="D45" s="6"/>
      <c r="E45" s="6"/>
      <c r="F45" s="2">
        <f>((K$41/100)*(H$40+O$10*4))+O$7</f>
        <v>9.5259999999999998</v>
      </c>
      <c r="G45" s="2">
        <f t="shared" si="4"/>
        <v>9.5259999999999998</v>
      </c>
      <c r="H45" s="2">
        <f t="shared" si="9"/>
        <v>2</v>
      </c>
      <c r="I45" s="2">
        <f t="shared" si="5"/>
        <v>19.052</v>
      </c>
      <c r="J45" s="2"/>
      <c r="K45" s="2" t="b">
        <f>ISTEXT(O8)</f>
        <v>0</v>
      </c>
      <c r="L45" s="2">
        <f>((K$41/100)*(K$11+O$10*4))+O$7</f>
        <v>9.5259999999999998</v>
      </c>
      <c r="M45" s="2">
        <f t="shared" si="6"/>
        <v>9.5259999999999998</v>
      </c>
      <c r="N45" s="2">
        <f t="shared" si="7"/>
        <v>2</v>
      </c>
      <c r="O45" s="6">
        <f t="shared" si="10"/>
        <v>9.5299999999999994</v>
      </c>
      <c r="P45" s="2">
        <f t="shared" si="8"/>
        <v>19.059999999999999</v>
      </c>
      <c r="Q45" s="2"/>
      <c r="R45" s="6"/>
      <c r="S45" s="6"/>
      <c r="T45" s="1"/>
      <c r="U45" s="2"/>
      <c r="V45" s="6">
        <f>(V44-Z44)*O10</f>
        <v>0.44499999999999956</v>
      </c>
      <c r="W45" s="2">
        <f>V45+(S36*2)</f>
        <v>4.4449999999999994</v>
      </c>
      <c r="X45" s="2"/>
      <c r="Y45" s="2"/>
      <c r="Z45" s="2"/>
      <c r="AA45" s="6"/>
      <c r="AB45" s="6"/>
      <c r="AC45" s="6"/>
      <c r="AD45" s="6"/>
      <c r="AE45" s="1"/>
    </row>
    <row r="46" spans="2:31" ht="14.25">
      <c r="B46" s="1"/>
      <c r="C46" s="1"/>
      <c r="D46" s="6"/>
      <c r="E46" s="6"/>
      <c r="F46" s="2">
        <f>((K$41/100)*(H$40+O$10*5))+O$7</f>
        <v>9.8420000000000005</v>
      </c>
      <c r="G46" s="2">
        <f t="shared" si="4"/>
        <v>9.8420000000000005</v>
      </c>
      <c r="H46" s="2">
        <f t="shared" si="9"/>
        <v>2</v>
      </c>
      <c r="I46" s="2">
        <f t="shared" si="5"/>
        <v>19.684000000000001</v>
      </c>
      <c r="J46" s="2"/>
      <c r="K46" s="2" t="b">
        <f>ISTEXT(O10)</f>
        <v>0</v>
      </c>
      <c r="L46" s="2">
        <f>((K$41/100)*(K$11+O$10*5))+O$7</f>
        <v>9.8420000000000005</v>
      </c>
      <c r="M46" s="2">
        <f t="shared" si="6"/>
        <v>9.8420000000000005</v>
      </c>
      <c r="N46" s="2">
        <f t="shared" si="7"/>
        <v>2</v>
      </c>
      <c r="O46" s="6">
        <f t="shared" si="10"/>
        <v>9.8399999999999999</v>
      </c>
      <c r="P46" s="2">
        <f t="shared" si="8"/>
        <v>19.68</v>
      </c>
      <c r="Q46" s="2">
        <f>IF(K12=0,0,IF(K12&lt;=((O10/2)-0.02),1,2))</f>
        <v>2</v>
      </c>
      <c r="R46" s="6"/>
      <c r="S46" s="6"/>
      <c r="T46" s="1"/>
      <c r="U46" s="2">
        <v>2</v>
      </c>
      <c r="V46" s="2">
        <f>(S7+S36+P34-((W42+W44)*O10))/O10</f>
        <v>3.7510548523206753</v>
      </c>
      <c r="W46" s="2">
        <f>IF(V46&gt;(Z46+0.02),ROUNDUP(V46,0),ROUNDDOWN(V46,0))</f>
        <v>4</v>
      </c>
      <c r="X46" s="2" t="s">
        <v>52</v>
      </c>
      <c r="Y46" s="2"/>
      <c r="Z46" s="2">
        <f>INT(V46)</f>
        <v>3</v>
      </c>
      <c r="AA46" s="6"/>
      <c r="AB46" s="6"/>
      <c r="AC46" s="6">
        <f>IF(U46&lt;P35,W46,IF(U46=P35,W46-((S36+W47-P34)/O10),0))</f>
        <v>4</v>
      </c>
      <c r="AD46" s="6"/>
      <c r="AE46" s="1"/>
    </row>
    <row r="47" spans="2:31" ht="14.25">
      <c r="B47" s="1"/>
      <c r="C47" s="1"/>
      <c r="D47" s="6"/>
      <c r="E47" s="6"/>
      <c r="F47" s="2">
        <f>((K$41/100)*(H$40+O$10*6))+O$7</f>
        <v>10.157999999999999</v>
      </c>
      <c r="G47" s="2">
        <f t="shared" si="4"/>
        <v>0</v>
      </c>
      <c r="H47" s="2">
        <f t="shared" si="9"/>
        <v>0</v>
      </c>
      <c r="I47" s="2">
        <f t="shared" si="5"/>
        <v>0</v>
      </c>
      <c r="J47" s="2"/>
      <c r="K47" s="2" t="b">
        <f>ISTEXT(O9)</f>
        <v>0</v>
      </c>
      <c r="L47" s="2">
        <f>((K$41/100)*(K$11+O$10*6))+O$7</f>
        <v>10.157999999999999</v>
      </c>
      <c r="M47" s="2">
        <f t="shared" si="6"/>
        <v>0</v>
      </c>
      <c r="N47" s="2">
        <f t="shared" si="7"/>
        <v>0</v>
      </c>
      <c r="O47" s="6">
        <f t="shared" si="10"/>
        <v>0</v>
      </c>
      <c r="P47" s="2">
        <f t="shared" si="8"/>
        <v>0</v>
      </c>
      <c r="Q47" s="2"/>
      <c r="R47" s="6"/>
      <c r="S47" s="6"/>
      <c r="T47" s="1"/>
      <c r="U47" s="2"/>
      <c r="V47" s="6">
        <f>W46*O10</f>
        <v>4.7400000000000002</v>
      </c>
      <c r="W47" s="2">
        <f>V47-W45</f>
        <v>0.29500000000000082</v>
      </c>
      <c r="X47" s="2"/>
      <c r="Y47" s="2"/>
      <c r="Z47" s="2"/>
      <c r="AA47" s="6"/>
      <c r="AB47" s="6"/>
      <c r="AC47" s="6"/>
      <c r="AD47" s="6"/>
      <c r="AE47" s="1"/>
    </row>
    <row r="48" spans="2:31" ht="14.25">
      <c r="B48" s="1"/>
      <c r="C48" s="1"/>
      <c r="D48" s="6"/>
      <c r="E48" s="6"/>
      <c r="F48" s="2">
        <f>((K$41/100)*(H$40+O$10*7))+O$7</f>
        <v>10.474</v>
      </c>
      <c r="G48" s="2">
        <f t="shared" si="4"/>
        <v>0</v>
      </c>
      <c r="H48" s="2">
        <f t="shared" si="9"/>
        <v>0</v>
      </c>
      <c r="I48" s="2">
        <f t="shared" si="5"/>
        <v>0</v>
      </c>
      <c r="J48" s="2"/>
      <c r="K48" s="2" t="b">
        <f>ISTEXT(O11)</f>
        <v>0</v>
      </c>
      <c r="L48" s="2">
        <f>((K$41/100)*(K$11+O$10*7))+O$7</f>
        <v>10.474</v>
      </c>
      <c r="M48" s="2">
        <f t="shared" si="6"/>
        <v>0</v>
      </c>
      <c r="N48" s="2">
        <f t="shared" si="7"/>
        <v>0</v>
      </c>
      <c r="O48" s="6">
        <f t="shared" si="10"/>
        <v>0</v>
      </c>
      <c r="P48" s="2">
        <f t="shared" si="8"/>
        <v>0</v>
      </c>
      <c r="Q48" s="2"/>
      <c r="R48" s="6"/>
      <c r="S48" s="6"/>
      <c r="T48" s="1"/>
      <c r="U48" s="2"/>
      <c r="V48" s="6">
        <f>O10-((V46-Z46)*O10)</f>
        <v>0.29499999999999982</v>
      </c>
      <c r="W48" s="2"/>
      <c r="X48" s="2"/>
      <c r="Y48" s="2"/>
      <c r="Z48" s="2"/>
      <c r="AA48" s="6"/>
      <c r="AB48" s="6"/>
      <c r="AC48" s="6"/>
      <c r="AD48" s="6"/>
      <c r="AE48" s="1"/>
    </row>
    <row r="49" spans="2:31" ht="14.25">
      <c r="B49" s="1"/>
      <c r="C49" s="1"/>
      <c r="D49" s="6"/>
      <c r="E49" s="6"/>
      <c r="F49" s="2">
        <f>((K$41/100)*(H$40+O$10*8))+O$7</f>
        <v>10.789999999999999</v>
      </c>
      <c r="G49" s="2">
        <f t="shared" si="4"/>
        <v>0</v>
      </c>
      <c r="H49" s="2">
        <f t="shared" si="9"/>
        <v>0</v>
      </c>
      <c r="I49" s="2">
        <f t="shared" si="5"/>
        <v>0</v>
      </c>
      <c r="J49" s="2"/>
      <c r="K49" s="2" t="b">
        <f>ISTEXT(O12)</f>
        <v>0</v>
      </c>
      <c r="L49" s="2">
        <f>((K$41/100)*(K$11+O$10*8))+O$7</f>
        <v>10.789999999999999</v>
      </c>
      <c r="M49" s="2">
        <f t="shared" si="6"/>
        <v>0</v>
      </c>
      <c r="N49" s="2">
        <f t="shared" si="7"/>
        <v>0</v>
      </c>
      <c r="O49" s="6">
        <f t="shared" si="10"/>
        <v>0</v>
      </c>
      <c r="P49" s="2">
        <f t="shared" si="8"/>
        <v>0</v>
      </c>
      <c r="Q49" s="2"/>
      <c r="R49" s="6"/>
      <c r="S49" s="6"/>
      <c r="T49" s="1"/>
      <c r="U49" s="2">
        <v>2</v>
      </c>
      <c r="V49" s="2">
        <f>(S10-V48)/O10</f>
        <v>1.4388185654008439</v>
      </c>
      <c r="W49" s="2">
        <f>IF(V49&lt;(Y49-0.02),ROUNDDOWN(V49,0),ROUNDUP(V49,0))</f>
        <v>1</v>
      </c>
      <c r="X49" s="2" t="s">
        <v>53</v>
      </c>
      <c r="Y49" s="2">
        <f>ROUNDUP(V49,0)</f>
        <v>2</v>
      </c>
      <c r="Z49" s="2">
        <f>INT(V49)</f>
        <v>1</v>
      </c>
      <c r="AA49" s="6"/>
      <c r="AB49" s="6">
        <f>IF(U49&lt;P35,W49,0)</f>
        <v>1</v>
      </c>
      <c r="AC49" s="6"/>
      <c r="AD49" s="6"/>
      <c r="AE49" s="1"/>
    </row>
    <row r="50" spans="2:31" ht="14.25">
      <c r="B50" s="1"/>
      <c r="C50" s="1"/>
      <c r="D50" s="6"/>
      <c r="E50" s="6"/>
      <c r="F50" s="2">
        <f>((K$41/100)*(H$40+O$10*9))+O$7</f>
        <v>11.106</v>
      </c>
      <c r="G50" s="2">
        <f t="shared" si="4"/>
        <v>0</v>
      </c>
      <c r="H50" s="2">
        <f t="shared" si="9"/>
        <v>0</v>
      </c>
      <c r="I50" s="2">
        <f t="shared" si="5"/>
        <v>0</v>
      </c>
      <c r="J50" s="2"/>
      <c r="K50" s="2" t="b">
        <f>ISTEXT(O14)</f>
        <v>0</v>
      </c>
      <c r="L50" s="2">
        <f>((K$41/100)*(K$11+O$10*9))+O$7</f>
        <v>11.106</v>
      </c>
      <c r="M50" s="2">
        <f t="shared" si="6"/>
        <v>0</v>
      </c>
      <c r="N50" s="2">
        <f t="shared" si="7"/>
        <v>0</v>
      </c>
      <c r="O50" s="6">
        <f t="shared" si="10"/>
        <v>0</v>
      </c>
      <c r="P50" s="2">
        <f t="shared" si="8"/>
        <v>0</v>
      </c>
      <c r="Q50" s="2"/>
      <c r="R50" s="6"/>
      <c r="S50" s="6"/>
      <c r="T50" s="1"/>
      <c r="U50" s="2"/>
      <c r="V50" s="6"/>
      <c r="W50" s="2"/>
      <c r="X50" s="2"/>
      <c r="Y50" s="2"/>
      <c r="Z50" s="2"/>
      <c r="AA50" s="6"/>
      <c r="AB50" s="6"/>
      <c r="AC50" s="6"/>
      <c r="AD50" s="6"/>
      <c r="AE50" s="1"/>
    </row>
    <row r="51" spans="2:31" ht="14.25">
      <c r="B51" s="1"/>
      <c r="C51" s="1"/>
      <c r="D51" s="6"/>
      <c r="E51" s="6"/>
      <c r="F51" s="2">
        <f>((K$41/100)*(H$40+O$10*10))+O$7</f>
        <v>11.422000000000001</v>
      </c>
      <c r="G51" s="2">
        <f t="shared" si="4"/>
        <v>0</v>
      </c>
      <c r="H51" s="2">
        <f t="shared" si="9"/>
        <v>0</v>
      </c>
      <c r="I51" s="2">
        <f t="shared" si="5"/>
        <v>0</v>
      </c>
      <c r="J51" s="2"/>
      <c r="K51" s="2" t="b">
        <f>ISTEXT(O13)</f>
        <v>0</v>
      </c>
      <c r="L51" s="2">
        <f>((K$41/100)*(K$11+O$10*10))+O$7</f>
        <v>11.422000000000001</v>
      </c>
      <c r="M51" s="2">
        <f>IF(L51&lt;=O$6,L51,0)</f>
        <v>0</v>
      </c>
      <c r="N51" s="2">
        <f t="shared" si="7"/>
        <v>0</v>
      </c>
      <c r="O51" s="6">
        <f t="shared" si="10"/>
        <v>0</v>
      </c>
      <c r="P51" s="2">
        <f t="shared" si="8"/>
        <v>0</v>
      </c>
      <c r="Q51" s="2"/>
      <c r="R51" s="6"/>
      <c r="S51" s="6"/>
      <c r="T51" s="1"/>
      <c r="U51" s="2"/>
      <c r="V51" s="6">
        <f>(V49-Z49)*O10</f>
        <v>0.52000000000000002</v>
      </c>
      <c r="W51" s="2"/>
      <c r="X51" s="2"/>
      <c r="Y51" s="2"/>
      <c r="Z51" s="2"/>
      <c r="AA51" s="6"/>
      <c r="AB51" s="6"/>
      <c r="AC51" s="6"/>
      <c r="AD51" s="6"/>
      <c r="AE51" s="1"/>
    </row>
    <row r="52" spans="2:31" ht="14.25">
      <c r="B52" s="1"/>
      <c r="C52" s="1"/>
      <c r="D52" s="6"/>
      <c r="E52" s="6"/>
      <c r="F52" s="2">
        <f>((K$41/100)*(H$40+O$10*11))+O$7</f>
        <v>11.738</v>
      </c>
      <c r="G52" s="2">
        <f t="shared" si="4"/>
        <v>0</v>
      </c>
      <c r="H52" s="2">
        <f t="shared" si="9"/>
        <v>0</v>
      </c>
      <c r="I52" s="2">
        <f t="shared" si="5"/>
        <v>0</v>
      </c>
      <c r="J52" s="2"/>
      <c r="K52" s="2"/>
      <c r="L52" s="2">
        <f>((K$41/100)*(K$11+O$10*11))+O$7</f>
        <v>11.738</v>
      </c>
      <c r="M52" s="2">
        <f t="shared" si="6"/>
        <v>0</v>
      </c>
      <c r="N52" s="2">
        <f t="shared" si="7"/>
        <v>0</v>
      </c>
      <c r="O52" s="6">
        <f t="shared" si="10"/>
        <v>0</v>
      </c>
      <c r="P52" s="2">
        <f t="shared" si="8"/>
        <v>0</v>
      </c>
      <c r="Q52" s="2"/>
      <c r="R52" s="6"/>
      <c r="S52" s="6"/>
      <c r="T52" s="1"/>
      <c r="U52" s="2"/>
      <c r="V52" s="2">
        <f>V51+(S36*2)</f>
        <v>4.5199999999999996</v>
      </c>
      <c r="W52" s="2">
        <f>INT(V53)</f>
        <v>3</v>
      </c>
      <c r="X52" s="2"/>
      <c r="Y52" s="2"/>
      <c r="Z52" s="2"/>
      <c r="AA52" s="6"/>
      <c r="AB52" s="6"/>
      <c r="AC52" s="6"/>
      <c r="AD52" s="6"/>
      <c r="AE52" s="1"/>
    </row>
    <row r="53" spans="2:31" ht="14.25">
      <c r="B53" s="1"/>
      <c r="C53" s="1"/>
      <c r="D53" s="6"/>
      <c r="E53" s="6"/>
      <c r="F53" s="2">
        <f>((K$41/100)*(H$40+O$10*12))+O$7</f>
        <v>12.053999999999998</v>
      </c>
      <c r="G53" s="2">
        <f t="shared" si="4"/>
        <v>0</v>
      </c>
      <c r="H53" s="2">
        <f t="shared" si="9"/>
        <v>0</v>
      </c>
      <c r="I53" s="2">
        <f t="shared" si="5"/>
        <v>0</v>
      </c>
      <c r="J53" s="2"/>
      <c r="K53" s="2"/>
      <c r="L53" s="2">
        <f>((K$41/100)*(K$11+O$10*12))+O$7</f>
        <v>12.053999999999998</v>
      </c>
      <c r="M53" s="2">
        <f t="shared" si="6"/>
        <v>0</v>
      </c>
      <c r="N53" s="2">
        <f t="shared" si="7"/>
        <v>0</v>
      </c>
      <c r="O53" s="6">
        <f t="shared" si="10"/>
        <v>0</v>
      </c>
      <c r="P53" s="2">
        <f t="shared" si="8"/>
        <v>0</v>
      </c>
      <c r="Q53" s="2"/>
      <c r="R53" s="6"/>
      <c r="S53" s="6"/>
      <c r="T53" s="1"/>
      <c r="U53" s="2">
        <v>3</v>
      </c>
      <c r="V53" s="2">
        <f>V52/O10</f>
        <v>3.814345991561181</v>
      </c>
      <c r="W53" s="2">
        <f>IF(V53&gt;(W52+0.02),ROUNDUP(V53,0),ROUNDDOWN(V53,0))</f>
        <v>4</v>
      </c>
      <c r="X53" s="2" t="s">
        <v>52</v>
      </c>
      <c r="Y53" s="2"/>
      <c r="Z53" s="2">
        <f>SUM(W42,W46,W53,W62,W70,W76,W84,W92,W98,W105)</f>
        <v>42</v>
      </c>
      <c r="AA53" s="6"/>
      <c r="AB53" s="6"/>
      <c r="AC53" s="6">
        <f>IF(U53&lt;P35,W53,IF(U53=P35,W53-((S36+W55-P34)/O10),0))</f>
        <v>4</v>
      </c>
      <c r="AD53" s="6"/>
      <c r="AE53" s="1"/>
    </row>
    <row r="54" spans="2:31" ht="14.25">
      <c r="B54" s="1"/>
      <c r="C54" s="1"/>
      <c r="D54" s="6"/>
      <c r="E54" s="6"/>
      <c r="F54" s="2">
        <f>((K$41/100)*(H$40+O$10*13))+O$7</f>
        <v>12.370000000000001</v>
      </c>
      <c r="G54" s="2">
        <f t="shared" si="4"/>
        <v>0</v>
      </c>
      <c r="H54" s="2">
        <f t="shared" si="9"/>
        <v>0</v>
      </c>
      <c r="I54" s="2">
        <f t="shared" si="5"/>
        <v>0</v>
      </c>
      <c r="J54" s="2"/>
      <c r="K54" s="2"/>
      <c r="L54" s="2">
        <f>((K$41/100)*(K$11+O$10*13))+O$7</f>
        <v>12.370000000000001</v>
      </c>
      <c r="M54" s="2">
        <f t="shared" si="6"/>
        <v>0</v>
      </c>
      <c r="N54" s="2">
        <f t="shared" si="7"/>
        <v>0</v>
      </c>
      <c r="O54" s="6">
        <f t="shared" si="10"/>
        <v>0</v>
      </c>
      <c r="P54" s="2">
        <f t="shared" si="8"/>
        <v>0</v>
      </c>
      <c r="Q54" s="2"/>
      <c r="R54" s="6"/>
      <c r="S54" s="6"/>
      <c r="T54" s="1"/>
      <c r="U54" s="2"/>
      <c r="V54" s="6">
        <f>W53*O10</f>
        <v>4.7400000000000002</v>
      </c>
      <c r="W54" s="2"/>
      <c r="X54" s="2"/>
      <c r="Y54" s="2"/>
      <c r="Z54" s="2">
        <f>SUM(W44,W49,W57,W67,W74,W80,W88,W95,W102)</f>
        <v>6</v>
      </c>
      <c r="AA54" s="6"/>
      <c r="AB54" s="6"/>
      <c r="AC54" s="6"/>
      <c r="AD54" s="6"/>
      <c r="AE54" s="1"/>
    </row>
    <row r="55" spans="2:31" ht="14.25">
      <c r="B55" s="1"/>
      <c r="C55" s="1"/>
      <c r="D55" s="6"/>
      <c r="E55" s="6"/>
      <c r="F55" s="2">
        <f>((K$41/100)*(H$40+O$10*14))+O$7</f>
        <v>12.686</v>
      </c>
      <c r="G55" s="2">
        <f t="shared" si="4"/>
        <v>0</v>
      </c>
      <c r="H55" s="2">
        <f t="shared" si="9"/>
        <v>0</v>
      </c>
      <c r="I55" s="2">
        <f t="shared" si="5"/>
        <v>0</v>
      </c>
      <c r="J55" s="2"/>
      <c r="K55" s="2"/>
      <c r="L55" s="2">
        <f>((K$41/100)*(K$11+O$10*14))+O$7</f>
        <v>12.686</v>
      </c>
      <c r="M55" s="2">
        <f t="shared" si="6"/>
        <v>0</v>
      </c>
      <c r="N55" s="2">
        <f t="shared" si="7"/>
        <v>0</v>
      </c>
      <c r="O55" s="6">
        <f t="shared" si="10"/>
        <v>0</v>
      </c>
      <c r="P55" s="2">
        <f t="shared" si="8"/>
        <v>0</v>
      </c>
      <c r="Q55" s="2"/>
      <c r="R55" s="6"/>
      <c r="S55" s="6"/>
      <c r="T55" s="1"/>
      <c r="U55" s="2"/>
      <c r="V55" s="6">
        <f>(W53-V53)*O10</f>
        <v>0.22000000000000047</v>
      </c>
      <c r="W55" s="2">
        <f>V54-V52</f>
        <v>0.22000000000000064</v>
      </c>
      <c r="X55" s="2"/>
      <c r="Y55" s="2"/>
      <c r="Z55" s="2"/>
      <c r="AA55" s="6"/>
      <c r="AB55" s="6"/>
      <c r="AC55" s="6"/>
      <c r="AD55" s="6"/>
      <c r="AE55" s="1"/>
    </row>
    <row r="56" spans="2:31" ht="14.25">
      <c r="B56" s="1"/>
      <c r="C56" s="1"/>
      <c r="D56" s="6"/>
      <c r="E56" s="6"/>
      <c r="F56" s="2">
        <f>((K$41/100)*(H$40+O$10*15))+O$7</f>
        <v>13.001999999999999</v>
      </c>
      <c r="G56" s="2">
        <f t="shared" si="4"/>
        <v>0</v>
      </c>
      <c r="H56" s="2">
        <f t="shared" si="9"/>
        <v>0</v>
      </c>
      <c r="I56" s="2">
        <f t="shared" si="5"/>
        <v>0</v>
      </c>
      <c r="J56" s="2"/>
      <c r="K56" s="2"/>
      <c r="L56" s="2">
        <f>((K$41/100)*(K$11+O$10*15))+O$7</f>
        <v>13.001999999999999</v>
      </c>
      <c r="M56" s="2">
        <f>IF(L56&lt;=O$6,L56,0)</f>
        <v>0</v>
      </c>
      <c r="N56" s="2">
        <f t="shared" si="7"/>
        <v>0</v>
      </c>
      <c r="O56" s="6">
        <f t="shared" si="10"/>
        <v>0</v>
      </c>
      <c r="P56" s="2">
        <f t="shared" si="8"/>
        <v>0</v>
      </c>
      <c r="Q56" s="2"/>
      <c r="R56" s="6"/>
      <c r="S56" s="6"/>
      <c r="T56" s="1"/>
      <c r="U56" s="2"/>
      <c r="V56" s="6">
        <f>S10-V55</f>
        <v>1.7799999999999996</v>
      </c>
      <c r="W56" s="2"/>
      <c r="X56" s="2"/>
      <c r="Y56" s="2"/>
      <c r="Z56" s="2"/>
      <c r="AA56" s="6"/>
      <c r="AB56" s="6"/>
      <c r="AC56" s="6"/>
      <c r="AD56" s="6"/>
      <c r="AE56" s="1"/>
    </row>
    <row r="57" spans="2:31" ht="14.25">
      <c r="B57" s="1"/>
      <c r="C57" s="1"/>
      <c r="D57" s="6"/>
      <c r="E57" s="6"/>
      <c r="F57" s="2">
        <f>((K$41/100)*(H$40+O$10*16))+O$7</f>
        <v>13.318</v>
      </c>
      <c r="G57" s="2">
        <f t="shared" si="4"/>
        <v>0</v>
      </c>
      <c r="H57" s="2">
        <f>IF(G57&gt;0,2,0)</f>
        <v>0</v>
      </c>
      <c r="I57" s="2">
        <f t="shared" si="5"/>
        <v>0</v>
      </c>
      <c r="J57" s="2"/>
      <c r="K57" s="2"/>
      <c r="L57" s="2">
        <f>((K$41/100)*(K$11+O$10*16))+O$7</f>
        <v>13.318</v>
      </c>
      <c r="M57" s="2">
        <f t="shared" si="6"/>
        <v>0</v>
      </c>
      <c r="N57" s="2">
        <f t="shared" si="7"/>
        <v>0</v>
      </c>
      <c r="O57" s="6">
        <f t="shared" si="10"/>
        <v>0</v>
      </c>
      <c r="P57" s="2">
        <f t="shared" si="8"/>
        <v>0</v>
      </c>
      <c r="Q57" s="2"/>
      <c r="R57" s="6"/>
      <c r="S57" s="6"/>
      <c r="T57" s="1"/>
      <c r="U57" s="2">
        <v>3</v>
      </c>
      <c r="V57" s="2">
        <f>V56/O10</f>
        <v>1.5021097046413499</v>
      </c>
      <c r="W57" s="2">
        <f>IF(V57&lt;(Z57-0.02),ROUNDDOWN(V57,0),ROUNDUP(V57,0))</f>
        <v>1</v>
      </c>
      <c r="X57" s="2" t="s">
        <v>53</v>
      </c>
      <c r="Y57" s="2"/>
      <c r="Z57" s="2">
        <f>ROUNDUP(V57,0)</f>
        <v>2</v>
      </c>
      <c r="AA57" s="6"/>
      <c r="AB57" s="6">
        <f>IF(U57&lt;P35,W57,0)</f>
        <v>1</v>
      </c>
      <c r="AC57" s="6"/>
      <c r="AD57" s="6"/>
      <c r="AE57" s="1"/>
    </row>
    <row r="58" spans="2:31" ht="14.25">
      <c r="B58" s="1"/>
      <c r="C58" s="1"/>
      <c r="D58" s="6"/>
      <c r="E58" s="6"/>
      <c r="F58" s="2">
        <f>((K$41/100)*(H$40+O$10*17))+O$7</f>
        <v>13.634</v>
      </c>
      <c r="G58" s="2">
        <f>IF(F58&lt;=O$6,F58,0)</f>
        <v>0</v>
      </c>
      <c r="H58" s="2">
        <f>IF(G58&gt;0,2,0)</f>
        <v>0</v>
      </c>
      <c r="I58" s="2">
        <f t="shared" si="5"/>
        <v>0</v>
      </c>
      <c r="J58" s="2"/>
      <c r="K58" s="2"/>
      <c r="L58" s="2">
        <f>((K$41/100)*(K$11+O$10*17))+O$7</f>
        <v>13.634</v>
      </c>
      <c r="M58" s="2">
        <f t="shared" si="6"/>
        <v>0</v>
      </c>
      <c r="N58" s="2">
        <f t="shared" si="7"/>
        <v>0</v>
      </c>
      <c r="O58" s="6">
        <f t="shared" si="10"/>
        <v>0</v>
      </c>
      <c r="P58" s="2">
        <f t="shared" si="8"/>
        <v>0</v>
      </c>
      <c r="Q58" s="2"/>
      <c r="R58" s="6"/>
      <c r="S58" s="6"/>
      <c r="T58" s="1"/>
      <c r="U58" s="2"/>
      <c r="V58" s="2">
        <f>V57-W57</f>
        <v>0.50210970464134985</v>
      </c>
      <c r="W58" s="2">
        <f>(V57-W57)*O10</f>
        <v>0.59499999999999964</v>
      </c>
      <c r="X58" s="2"/>
      <c r="Y58" s="2"/>
      <c r="Z58" s="2"/>
      <c r="AA58" s="6"/>
      <c r="AB58" s="6"/>
      <c r="AC58" s="6"/>
      <c r="AD58" s="6"/>
      <c r="AE58" s="1"/>
    </row>
    <row r="59" spans="2:31" ht="14.25">
      <c r="B59" s="1"/>
      <c r="C59" s="1"/>
      <c r="D59" s="6"/>
      <c r="E59" s="6"/>
      <c r="F59" s="2">
        <f>((K$41/100)*(H$40+O$10*18))+O$7</f>
        <v>13.949999999999999</v>
      </c>
      <c r="G59" s="2">
        <f t="shared" si="4"/>
        <v>0</v>
      </c>
      <c r="H59" s="2">
        <f t="shared" si="9"/>
        <v>0</v>
      </c>
      <c r="I59" s="2">
        <f t="shared" si="5"/>
        <v>0</v>
      </c>
      <c r="J59" s="2"/>
      <c r="K59" s="2"/>
      <c r="L59" s="2">
        <f>((K$41/100)*(K$11+O$10*18))+O$7</f>
        <v>13.949999999999999</v>
      </c>
      <c r="M59" s="2">
        <f t="shared" si="6"/>
        <v>0</v>
      </c>
      <c r="N59" s="2">
        <f t="shared" si="7"/>
        <v>0</v>
      </c>
      <c r="O59" s="6">
        <f t="shared" si="10"/>
        <v>0</v>
      </c>
      <c r="P59" s="2">
        <f t="shared" si="8"/>
        <v>0</v>
      </c>
      <c r="Q59" s="2"/>
      <c r="R59" s="6"/>
      <c r="S59" s="6"/>
      <c r="T59" s="1"/>
      <c r="U59" s="2"/>
      <c r="V59" s="2">
        <f>(V58*O10)+(S36*2)</f>
        <v>4.5949999999999998</v>
      </c>
      <c r="W59" s="2"/>
      <c r="X59" s="2"/>
      <c r="Y59" s="2"/>
      <c r="Z59" s="2"/>
      <c r="AA59" s="6"/>
      <c r="AB59" s="6"/>
      <c r="AC59" s="6"/>
      <c r="AD59" s="6"/>
      <c r="AE59" s="1"/>
    </row>
    <row r="60" spans="2:31" ht="14.25">
      <c r="B60" s="1"/>
      <c r="C60" s="1"/>
      <c r="D60" s="6"/>
      <c r="E60" s="6"/>
      <c r="F60" s="2">
        <f>((K$41/100)*(H$40+O$10*19))+O$7</f>
        <v>14.266</v>
      </c>
      <c r="G60" s="2">
        <f t="shared" si="4"/>
        <v>0</v>
      </c>
      <c r="H60" s="2">
        <f t="shared" si="9"/>
        <v>0</v>
      </c>
      <c r="I60" s="2">
        <f t="shared" si="5"/>
        <v>0</v>
      </c>
      <c r="J60" s="2"/>
      <c r="K60" s="2"/>
      <c r="L60" s="2">
        <f>((K$41/100)*(K$11+O$10*19))+O$7</f>
        <v>14.266</v>
      </c>
      <c r="M60" s="2">
        <f t="shared" si="6"/>
        <v>0</v>
      </c>
      <c r="N60" s="2">
        <f t="shared" si="7"/>
        <v>0</v>
      </c>
      <c r="O60" s="6">
        <f t="shared" si="10"/>
        <v>0</v>
      </c>
      <c r="P60" s="2">
        <f t="shared" si="8"/>
        <v>0</v>
      </c>
      <c r="Q60" s="2"/>
      <c r="R60" s="6"/>
      <c r="S60" s="6"/>
      <c r="T60" s="1"/>
      <c r="U60" s="2"/>
      <c r="V60" s="2">
        <f>V59/O10</f>
        <v>3.8776371308016873</v>
      </c>
      <c r="W60" s="2"/>
      <c r="X60" s="2"/>
      <c r="Y60" s="2"/>
      <c r="Z60" s="2"/>
      <c r="AA60" s="6"/>
      <c r="AB60" s="6"/>
      <c r="AC60" s="6"/>
      <c r="AD60" s="6"/>
      <c r="AE60" s="1"/>
    </row>
    <row r="61" spans="2:31" ht="14.25">
      <c r="B61" s="1"/>
      <c r="C61" s="1"/>
      <c r="D61" s="6"/>
      <c r="E61" s="6"/>
      <c r="F61" s="2">
        <f>((K$41/100)*(H$40+O$10*20))+O$7</f>
        <v>14.582000000000001</v>
      </c>
      <c r="G61" s="2">
        <f t="shared" si="4"/>
        <v>0</v>
      </c>
      <c r="H61" s="2">
        <f t="shared" si="9"/>
        <v>0</v>
      </c>
      <c r="I61" s="2">
        <f t="shared" si="5"/>
        <v>0</v>
      </c>
      <c r="J61" s="2"/>
      <c r="K61" s="2"/>
      <c r="L61" s="2">
        <f>((K$41/100)*(K$11+O$10*20))+O$7</f>
        <v>14.582000000000001</v>
      </c>
      <c r="M61" s="2">
        <f t="shared" si="6"/>
        <v>0</v>
      </c>
      <c r="N61" s="2">
        <f t="shared" si="7"/>
        <v>0</v>
      </c>
      <c r="O61" s="6">
        <f t="shared" si="10"/>
        <v>0</v>
      </c>
      <c r="P61" s="2">
        <f t="shared" si="8"/>
        <v>0</v>
      </c>
      <c r="Q61" s="2"/>
      <c r="R61" s="6"/>
      <c r="S61" s="6"/>
      <c r="T61" s="1"/>
      <c r="U61" s="2"/>
      <c r="V61" s="6"/>
      <c r="W61" s="2">
        <f>INT(V62)</f>
        <v>3</v>
      </c>
      <c r="X61" s="2"/>
      <c r="Y61" s="2"/>
      <c r="Z61" s="2"/>
      <c r="AA61" s="6"/>
      <c r="AB61" s="6"/>
      <c r="AC61" s="6"/>
      <c r="AD61" s="6"/>
      <c r="AE61" s="1"/>
    </row>
    <row r="62" spans="2:31" ht="14.25">
      <c r="B62" s="1"/>
      <c r="C62" s="1"/>
      <c r="D62" s="6"/>
      <c r="E62" s="6"/>
      <c r="F62" s="2">
        <f>((K$41/100)*(H$40+O$10*21))+O$7</f>
        <v>14.898</v>
      </c>
      <c r="G62" s="2">
        <f t="shared" si="4"/>
        <v>0</v>
      </c>
      <c r="H62" s="2">
        <f t="shared" si="9"/>
        <v>0</v>
      </c>
      <c r="I62" s="2">
        <f t="shared" si="5"/>
        <v>0</v>
      </c>
      <c r="J62" s="2"/>
      <c r="K62" s="2"/>
      <c r="L62" s="2">
        <f>((K$41/100)*(K$11+O$10*21))+O$7</f>
        <v>14.898</v>
      </c>
      <c r="M62" s="2">
        <f t="shared" si="6"/>
        <v>0</v>
      </c>
      <c r="N62" s="2">
        <f t="shared" si="7"/>
        <v>0</v>
      </c>
      <c r="O62" s="6">
        <f t="shared" si="10"/>
        <v>0</v>
      </c>
      <c r="P62" s="2">
        <f t="shared" si="8"/>
        <v>0</v>
      </c>
      <c r="Q62" s="2"/>
      <c r="R62" s="6"/>
      <c r="S62" s="6"/>
      <c r="T62" s="1"/>
      <c r="U62" s="2">
        <v>4</v>
      </c>
      <c r="V62" s="6">
        <f>V60</f>
        <v>3.8776371308016873</v>
      </c>
      <c r="W62" s="2">
        <f>IF(V62&gt;(W61+0.02),ROUNDUP(V62,0),ROUNDDOWN(V62,0))</f>
        <v>4</v>
      </c>
      <c r="X62" s="2" t="s">
        <v>52</v>
      </c>
      <c r="Y62" s="2"/>
      <c r="Z62" s="2"/>
      <c r="AA62" s="6"/>
      <c r="AB62" s="6"/>
      <c r="AC62" s="6">
        <f>IF(U62&lt;P35,W62,IF(U62=P35,W62-((S36+W65-P34)/O10),0))</f>
        <v>4</v>
      </c>
      <c r="AD62" s="6"/>
      <c r="AE62" s="1"/>
    </row>
    <row r="63" spans="2:31" ht="14.25">
      <c r="B63" s="1"/>
      <c r="C63" s="1"/>
      <c r="D63" s="6"/>
      <c r="E63" s="6"/>
      <c r="F63" s="2">
        <f>((K$41/100)*(H$40+O$10*22))+O$7</f>
        <v>15.213999999999999</v>
      </c>
      <c r="G63" s="2">
        <f t="shared" si="4"/>
        <v>0</v>
      </c>
      <c r="H63" s="2">
        <f t="shared" si="9"/>
        <v>0</v>
      </c>
      <c r="I63" s="2">
        <f t="shared" si="5"/>
        <v>0</v>
      </c>
      <c r="J63" s="2"/>
      <c r="K63" s="2"/>
      <c r="L63" s="2">
        <f>((K$41/100)*(K$11+O$10*22))+O$7</f>
        <v>15.213999999999999</v>
      </c>
      <c r="M63" s="2">
        <f t="shared" si="6"/>
        <v>0</v>
      </c>
      <c r="N63" s="2">
        <f t="shared" si="7"/>
        <v>0</v>
      </c>
      <c r="O63" s="6">
        <f t="shared" si="10"/>
        <v>0</v>
      </c>
      <c r="P63" s="2">
        <f t="shared" si="8"/>
        <v>0</v>
      </c>
      <c r="Q63" s="2"/>
      <c r="R63" s="6"/>
      <c r="S63" s="6"/>
      <c r="T63" s="1"/>
      <c r="U63" s="2"/>
      <c r="V63" s="6">
        <f>V62*O10</f>
        <v>4.5949999999999998</v>
      </c>
      <c r="W63" s="2"/>
      <c r="X63" s="2"/>
      <c r="Y63" s="2"/>
      <c r="Z63" s="2"/>
      <c r="AA63" s="6"/>
      <c r="AB63" s="6"/>
      <c r="AC63" s="6"/>
      <c r="AD63" s="6"/>
      <c r="AE63" s="1"/>
    </row>
    <row r="64" spans="2:31" ht="14.25">
      <c r="B64" s="1"/>
      <c r="C64" s="1"/>
      <c r="D64" s="6"/>
      <c r="E64" s="6"/>
      <c r="F64" s="2">
        <f>((K$41/100)*(H$40+O$10*23))+O$7</f>
        <v>15.530000000000001</v>
      </c>
      <c r="G64" s="2">
        <f t="shared" si="4"/>
        <v>0</v>
      </c>
      <c r="H64" s="2">
        <f t="shared" si="9"/>
        <v>0</v>
      </c>
      <c r="I64" s="2">
        <f t="shared" si="5"/>
        <v>0</v>
      </c>
      <c r="J64" s="2"/>
      <c r="K64" s="2"/>
      <c r="L64" s="2">
        <f>((K$41/100)*(K$11+O$10*23))+O$7</f>
        <v>15.530000000000001</v>
      </c>
      <c r="M64" s="2">
        <f t="shared" si="6"/>
        <v>0</v>
      </c>
      <c r="N64" s="2">
        <f t="shared" si="7"/>
        <v>0</v>
      </c>
      <c r="O64" s="6">
        <f t="shared" si="10"/>
        <v>0</v>
      </c>
      <c r="P64" s="2">
        <f t="shared" si="8"/>
        <v>0</v>
      </c>
      <c r="Q64" s="2"/>
      <c r="R64" s="6"/>
      <c r="S64" s="6"/>
      <c r="T64" s="1"/>
      <c r="U64" s="2"/>
      <c r="V64" s="6">
        <f>W62*O10</f>
        <v>4.7400000000000002</v>
      </c>
      <c r="W64" s="2"/>
      <c r="X64" s="2"/>
      <c r="Y64" s="2"/>
      <c r="Z64" s="2"/>
      <c r="AA64" s="6"/>
      <c r="AB64" s="6"/>
      <c r="AC64" s="6"/>
      <c r="AD64" s="6"/>
      <c r="AE64" s="1"/>
    </row>
    <row r="65" spans="2:31" ht="14.25">
      <c r="B65" s="1"/>
      <c r="C65" s="1"/>
      <c r="D65" s="6"/>
      <c r="E65" s="6"/>
      <c r="F65" s="2">
        <f>((K$41/100)*(H$40+O$10*24))+O$7</f>
        <v>15.846</v>
      </c>
      <c r="G65" s="2">
        <f t="shared" si="4"/>
        <v>0</v>
      </c>
      <c r="H65" s="2">
        <f t="shared" si="9"/>
        <v>0</v>
      </c>
      <c r="I65" s="2">
        <f t="shared" si="5"/>
        <v>0</v>
      </c>
      <c r="J65" s="2"/>
      <c r="K65" s="2"/>
      <c r="L65" s="2">
        <f>((K$41/100)*(K$11+O$10*24))+O$7</f>
        <v>15.846</v>
      </c>
      <c r="M65" s="2">
        <f t="shared" si="6"/>
        <v>0</v>
      </c>
      <c r="N65" s="2">
        <f t="shared" si="7"/>
        <v>0</v>
      </c>
      <c r="O65" s="6">
        <f t="shared" si="10"/>
        <v>0</v>
      </c>
      <c r="P65" s="2">
        <f t="shared" si="8"/>
        <v>0</v>
      </c>
      <c r="Q65" s="2"/>
      <c r="R65" s="6"/>
      <c r="S65" s="6"/>
      <c r="T65" s="1"/>
      <c r="U65" s="2"/>
      <c r="V65" s="6">
        <f>V64-V63</f>
        <v>0.14500000000000046</v>
      </c>
      <c r="W65" s="2">
        <f>V64-V63</f>
        <v>0.14500000000000046</v>
      </c>
      <c r="X65" s="2"/>
      <c r="Y65" s="2"/>
      <c r="Z65" s="2"/>
      <c r="AA65" s="6"/>
      <c r="AB65" s="6"/>
      <c r="AC65" s="6"/>
      <c r="AD65" s="6"/>
      <c r="AE65" s="1"/>
    </row>
    <row r="66" spans="2:31" ht="14.25">
      <c r="B66" s="1"/>
      <c r="C66" s="1"/>
      <c r="D66" s="6"/>
      <c r="E66" s="6"/>
      <c r="F66" s="2">
        <f>((K$41/100)*(H$40+O$10*25))+O$7</f>
        <v>16.161999999999999</v>
      </c>
      <c r="G66" s="2">
        <f t="shared" si="4"/>
        <v>0</v>
      </c>
      <c r="H66" s="2">
        <f t="shared" si="9"/>
        <v>0</v>
      </c>
      <c r="I66" s="2">
        <f t="shared" si="5"/>
        <v>0</v>
      </c>
      <c r="J66" s="2"/>
      <c r="K66" s="2"/>
      <c r="L66" s="2">
        <f>((K$41/100)*(K$11+O$10*25))+O$7</f>
        <v>16.161999999999999</v>
      </c>
      <c r="M66" s="2">
        <f>IF(L66&lt;=O$6,L66,0)</f>
        <v>0</v>
      </c>
      <c r="N66" s="2">
        <f t="shared" si="7"/>
        <v>0</v>
      </c>
      <c r="O66" s="6">
        <f t="shared" si="10"/>
        <v>0</v>
      </c>
      <c r="P66" s="2">
        <f t="shared" si="8"/>
        <v>0</v>
      </c>
      <c r="Q66" s="2"/>
      <c r="R66" s="6"/>
      <c r="S66" s="6"/>
      <c r="T66" s="1"/>
      <c r="U66" s="2"/>
      <c r="V66" s="6">
        <f>S10-V65</f>
        <v>1.8549999999999995</v>
      </c>
      <c r="W66" s="2"/>
      <c r="X66" s="2"/>
      <c r="Y66" s="2"/>
      <c r="Z66" s="2"/>
      <c r="AA66" s="6"/>
      <c r="AB66" s="6"/>
      <c r="AC66" s="6"/>
      <c r="AD66" s="6"/>
      <c r="AE66" s="1"/>
    </row>
    <row r="67" spans="2:31" ht="14.25">
      <c r="B67" s="1"/>
      <c r="C67" s="1"/>
      <c r="D67" s="6"/>
      <c r="E67" s="6"/>
      <c r="F67" s="2">
        <f>((K$41/100)*(H$40+O$10*26))+O$7</f>
        <v>16.478000000000002</v>
      </c>
      <c r="G67" s="2">
        <f t="shared" si="4"/>
        <v>0</v>
      </c>
      <c r="H67" s="2">
        <f t="shared" si="9"/>
        <v>0</v>
      </c>
      <c r="I67" s="2">
        <f t="shared" si="5"/>
        <v>0</v>
      </c>
      <c r="J67" s="2"/>
      <c r="K67" s="2"/>
      <c r="L67" s="2">
        <f>((K$41/100)*(K$11+O$10*26))+O$7</f>
        <v>16.478000000000002</v>
      </c>
      <c r="M67" s="2">
        <f t="shared" si="6"/>
        <v>0</v>
      </c>
      <c r="N67" s="2">
        <f t="shared" si="7"/>
        <v>0</v>
      </c>
      <c r="O67" s="6">
        <f t="shared" si="10"/>
        <v>0</v>
      </c>
      <c r="P67" s="2">
        <f t="shared" si="8"/>
        <v>0</v>
      </c>
      <c r="Q67" s="2"/>
      <c r="R67" s="6"/>
      <c r="S67" s="6"/>
      <c r="T67" s="1"/>
      <c r="U67" s="2">
        <v>4</v>
      </c>
      <c r="V67" s="6">
        <f>V66/O10</f>
        <v>1.5654008438818561</v>
      </c>
      <c r="W67" s="2">
        <f>IF(V67&lt;(Y67-0.02),ROUNDDOWN(V67,0),ROUNDUP(V67,0))</f>
        <v>1</v>
      </c>
      <c r="X67" s="2" t="s">
        <v>53</v>
      </c>
      <c r="Y67" s="2">
        <f>ROUNDUP(V67,0)</f>
        <v>2</v>
      </c>
      <c r="Z67" s="2"/>
      <c r="AA67" s="6"/>
      <c r="AB67" s="6">
        <f>IF(U67&lt;P35,W67,0)</f>
        <v>1</v>
      </c>
      <c r="AC67" s="6"/>
      <c r="AD67" s="6"/>
      <c r="AE67" s="1"/>
    </row>
    <row r="68" spans="2:31" ht="14.25">
      <c r="B68" s="1"/>
      <c r="C68" s="1"/>
      <c r="D68" s="6"/>
      <c r="E68" s="6"/>
      <c r="F68" s="2">
        <f>((K$41/100)*(H$40+O$10*27))+O$7</f>
        <v>16.794</v>
      </c>
      <c r="G68" s="2">
        <f t="shared" si="4"/>
        <v>0</v>
      </c>
      <c r="H68" s="2">
        <f t="shared" si="9"/>
        <v>0</v>
      </c>
      <c r="I68" s="2">
        <f t="shared" si="5"/>
        <v>0</v>
      </c>
      <c r="J68" s="2"/>
      <c r="K68" s="2"/>
      <c r="L68" s="2">
        <f>((K$41/100)*(K$11+O$10*27))+O$7</f>
        <v>16.794</v>
      </c>
      <c r="M68" s="2">
        <f>IF(L68&lt;=O$6,L68,0)</f>
        <v>0</v>
      </c>
      <c r="N68" s="2">
        <f t="shared" si="7"/>
        <v>0</v>
      </c>
      <c r="O68" s="6">
        <f t="shared" si="10"/>
        <v>0</v>
      </c>
      <c r="P68" s="2">
        <f t="shared" si="8"/>
        <v>0</v>
      </c>
      <c r="Q68" s="2"/>
      <c r="R68" s="6"/>
      <c r="S68" s="6"/>
      <c r="T68" s="1"/>
      <c r="U68" s="2"/>
      <c r="V68" s="6">
        <f>(V67-W67)*O10</f>
        <v>0.66999999999999948</v>
      </c>
      <c r="W68" s="2"/>
      <c r="X68" s="2"/>
      <c r="Y68" s="2"/>
      <c r="Z68" s="2"/>
      <c r="AA68" s="6"/>
      <c r="AB68" s="6"/>
      <c r="AC68" s="6"/>
      <c r="AD68" s="6"/>
      <c r="AE68" s="1"/>
    </row>
    <row r="69" spans="2:31" ht="14.25">
      <c r="B69" s="1"/>
      <c r="C69" s="1"/>
      <c r="D69" s="6"/>
      <c r="E69" s="6"/>
      <c r="F69" s="2">
        <f>((K$41/100)*(H$40+O$10*28))+O$7</f>
        <v>17.109999999999999</v>
      </c>
      <c r="G69" s="2">
        <f t="shared" si="4"/>
        <v>0</v>
      </c>
      <c r="H69" s="2">
        <f t="shared" si="9"/>
        <v>0</v>
      </c>
      <c r="I69" s="2">
        <f t="shared" si="5"/>
        <v>0</v>
      </c>
      <c r="J69" s="2"/>
      <c r="K69" s="2"/>
      <c r="L69" s="2">
        <f>((K$41/100)*(K$11+O$10*28))+O$7</f>
        <v>17.109999999999999</v>
      </c>
      <c r="M69" s="2">
        <f t="shared" si="6"/>
        <v>0</v>
      </c>
      <c r="N69" s="2">
        <f t="shared" si="7"/>
        <v>0</v>
      </c>
      <c r="O69" s="6">
        <f t="shared" si="10"/>
        <v>0</v>
      </c>
      <c r="P69" s="2">
        <f t="shared" si="8"/>
        <v>0</v>
      </c>
      <c r="Q69" s="2"/>
      <c r="R69" s="6"/>
      <c r="S69" s="6"/>
      <c r="T69" s="1"/>
      <c r="U69" s="2"/>
      <c r="V69" s="6">
        <f>(S36*2)+V68</f>
        <v>4.6699999999999999</v>
      </c>
      <c r="W69" s="2">
        <f>INT(V70)</f>
        <v>3</v>
      </c>
      <c r="X69" s="2"/>
      <c r="Y69" s="2"/>
      <c r="Z69" s="2"/>
      <c r="AA69" s="6"/>
      <c r="AB69" s="6"/>
      <c r="AC69" s="6"/>
      <c r="AD69" s="6"/>
      <c r="AE69" s="1"/>
    </row>
    <row r="70" spans="2:31" ht="14.25">
      <c r="B70" s="1"/>
      <c r="C70" s="1"/>
      <c r="D70" s="6"/>
      <c r="E70" s="6"/>
      <c r="F70" s="2">
        <f>((K$41/100)*(H$40+O$10*29))+O$7</f>
        <v>17.426000000000002</v>
      </c>
      <c r="G70" s="2">
        <f t="shared" si="4"/>
        <v>0</v>
      </c>
      <c r="H70" s="2">
        <f t="shared" si="9"/>
        <v>0</v>
      </c>
      <c r="I70" s="2">
        <f t="shared" si="5"/>
        <v>0</v>
      </c>
      <c r="J70" s="2"/>
      <c r="K70" s="2"/>
      <c r="L70" s="2">
        <f>((K$41/100)*(K$11+O$10*29))+O$7</f>
        <v>17.426000000000002</v>
      </c>
      <c r="M70" s="2">
        <f t="shared" si="6"/>
        <v>0</v>
      </c>
      <c r="N70" s="2">
        <f t="shared" si="7"/>
        <v>0</v>
      </c>
      <c r="O70" s="6">
        <f t="shared" si="10"/>
        <v>0</v>
      </c>
      <c r="P70" s="2">
        <f t="shared" si="8"/>
        <v>0</v>
      </c>
      <c r="Q70" s="2"/>
      <c r="R70" s="6"/>
      <c r="S70" s="6"/>
      <c r="T70" s="1"/>
      <c r="U70" s="2">
        <v>5</v>
      </c>
      <c r="V70" s="6">
        <f>V69/O10</f>
        <v>3.9409282700421939</v>
      </c>
      <c r="W70" s="2">
        <f>IF(V70&gt;(W69+0.02),ROUNDUP(V70,0),ROUNDDOWN(V70,0))</f>
        <v>4</v>
      </c>
      <c r="X70" s="2" t="s">
        <v>52</v>
      </c>
      <c r="Y70" s="2"/>
      <c r="Z70" s="2"/>
      <c r="AA70" s="6"/>
      <c r="AB70" s="6"/>
      <c r="AC70" s="6">
        <f>IF(U70&lt;P35,W70,IF(U70=P35,W70-((S36+W73-P34)/O10),0))</f>
        <v>4</v>
      </c>
      <c r="AD70" s="6"/>
      <c r="AE70" s="1"/>
    </row>
    <row r="71" spans="2:31" ht="14.25">
      <c r="B71" s="1"/>
      <c r="C71" s="1"/>
      <c r="D71" s="6"/>
      <c r="E71" s="6"/>
      <c r="F71" s="2">
        <f>((K$41/100)*(H$40+O$10*30))+O$7</f>
        <v>17.742000000000001</v>
      </c>
      <c r="G71" s="2">
        <f t="shared" si="4"/>
        <v>0</v>
      </c>
      <c r="H71" s="2">
        <f t="shared" si="9"/>
        <v>0</v>
      </c>
      <c r="I71" s="2">
        <f t="shared" si="5"/>
        <v>0</v>
      </c>
      <c r="J71" s="2"/>
      <c r="K71" s="2"/>
      <c r="L71" s="2">
        <f>((K$41/100)*(K$11+O$10*30))+O$7</f>
        <v>17.742000000000001</v>
      </c>
      <c r="M71" s="2">
        <f t="shared" si="6"/>
        <v>0</v>
      </c>
      <c r="N71" s="2">
        <f t="shared" si="7"/>
        <v>0</v>
      </c>
      <c r="O71" s="6">
        <f t="shared" si="10"/>
        <v>0</v>
      </c>
      <c r="P71" s="2">
        <f t="shared" si="8"/>
        <v>0</v>
      </c>
      <c r="Q71" s="2"/>
      <c r="R71" s="6"/>
      <c r="S71" s="6">
        <f>IF(V70&gt;(W69+0.02),ROUNDUP(V70,0),ROUNDDOWN(V70,0))</f>
        <v>4</v>
      </c>
      <c r="T71" s="1"/>
      <c r="U71" s="2"/>
      <c r="V71" s="6">
        <f>W70*O10</f>
        <v>4.7400000000000002</v>
      </c>
      <c r="W71" s="2"/>
      <c r="X71" s="2"/>
      <c r="Y71" s="2"/>
      <c r="Z71" s="2"/>
      <c r="AA71" s="6"/>
      <c r="AB71" s="6"/>
      <c r="AC71" s="6"/>
      <c r="AD71" s="6"/>
      <c r="AE71" s="1"/>
    </row>
    <row r="72" spans="2:31" ht="14.25">
      <c r="B72" s="1"/>
      <c r="C72" s="1"/>
      <c r="D72" s="6"/>
      <c r="E72" s="6"/>
      <c r="F72" s="2"/>
      <c r="G72" s="2"/>
      <c r="H72" s="2"/>
      <c r="I72" s="2">
        <f>((SUM(I41:I71))+O6)*O10</f>
        <v>140.56944000000001</v>
      </c>
      <c r="J72" s="2"/>
      <c r="K72" s="2"/>
      <c r="L72" s="2"/>
      <c r="M72" s="2"/>
      <c r="N72" s="2"/>
      <c r="O72" s="6"/>
      <c r="P72" s="2">
        <f>(SUM(P41:P71))*O10</f>
        <v>128.71470000000002</v>
      </c>
      <c r="Q72" s="2"/>
      <c r="R72" s="2"/>
      <c r="S72" s="6"/>
      <c r="T72" s="1"/>
      <c r="U72" s="6"/>
      <c r="V72" s="6">
        <f>V71-V69</f>
        <v>0.070000000000000284</v>
      </c>
      <c r="W72" s="2">
        <f>W70*O10</f>
        <v>4.7400000000000002</v>
      </c>
      <c r="X72" s="2"/>
      <c r="Y72" s="2"/>
      <c r="Z72" s="2"/>
      <c r="AA72" s="6"/>
      <c r="AB72" s="6"/>
      <c r="AC72" s="6"/>
      <c r="AD72" s="6"/>
      <c r="AE72" s="1"/>
    </row>
    <row r="73" spans="2:31" ht="14.25">
      <c r="B73" s="1"/>
      <c r="C73" s="1"/>
      <c r="D73" s="6"/>
      <c r="E73" s="6"/>
      <c r="F73" s="1"/>
      <c r="G73" s="1"/>
      <c r="H73" s="1"/>
      <c r="I73" s="1"/>
      <c r="J73" s="1"/>
      <c r="K73" s="1"/>
      <c r="L73" s="1"/>
      <c r="M73" s="1"/>
      <c r="N73" s="1"/>
      <c r="O73" s="1"/>
      <c r="P73" s="1"/>
      <c r="Q73" s="1"/>
      <c r="R73" s="1"/>
      <c r="S73" s="1"/>
      <c r="T73" s="1"/>
      <c r="U73" s="6"/>
      <c r="V73" s="6">
        <f>S10-V72</f>
        <v>1.9299999999999997</v>
      </c>
      <c r="W73" s="2">
        <f>W72-V69</f>
        <v>0.070000000000000284</v>
      </c>
      <c r="X73" s="2"/>
      <c r="Y73" s="2"/>
      <c r="Z73" s="2"/>
      <c r="AA73" s="6"/>
      <c r="AB73" s="6"/>
      <c r="AC73" s="6"/>
      <c r="AD73" s="6"/>
      <c r="AE73" s="1"/>
    </row>
    <row r="74" spans="2:31" ht="14.25">
      <c r="B74" s="1"/>
      <c r="C74" s="1"/>
      <c r="D74" s="6"/>
      <c r="E74" s="6"/>
      <c r="F74" s="6"/>
      <c r="G74" s="6"/>
      <c r="H74" s="6"/>
      <c r="I74" s="6"/>
      <c r="J74" s="6"/>
      <c r="K74" s="6"/>
      <c r="L74" s="6"/>
      <c r="M74" s="6"/>
      <c r="N74" s="6"/>
      <c r="O74" s="6"/>
      <c r="P74" s="6"/>
      <c r="Q74" s="6"/>
      <c r="R74" s="6"/>
      <c r="S74" s="6"/>
      <c r="T74" s="6"/>
      <c r="U74" s="6">
        <v>5</v>
      </c>
      <c r="V74" s="6">
        <f>V73/O10</f>
        <v>1.6286919831223625</v>
      </c>
      <c r="W74" s="2">
        <f>IF(V74&lt;(Y74-0.02),ROUNDDOWN(V74,0),ROUNDUP(V74,0))</f>
        <v>1</v>
      </c>
      <c r="X74" s="2" t="s">
        <v>53</v>
      </c>
      <c r="Y74" s="2">
        <f>ROUNDUP(V74,)</f>
        <v>2</v>
      </c>
      <c r="Z74" s="2"/>
      <c r="AA74" s="6"/>
      <c r="AB74" s="6">
        <f>IF(U74&lt;P35,W74,0)</f>
        <v>1</v>
      </c>
      <c r="AC74" s="6"/>
      <c r="AD74" s="6"/>
      <c r="AE74" s="1"/>
    </row>
    <row r="75" spans="2:31" ht="14.25">
      <c r="B75" s="1"/>
      <c r="C75" s="1"/>
      <c r="D75" s="6"/>
      <c r="E75" s="6"/>
      <c r="F75" s="6"/>
      <c r="G75" s="6"/>
      <c r="H75" s="6"/>
      <c r="I75" s="6"/>
      <c r="J75" s="6"/>
      <c r="K75" s="6"/>
      <c r="L75" s="6"/>
      <c r="M75" s="6"/>
      <c r="N75" s="6"/>
      <c r="O75" s="6"/>
      <c r="P75" s="6"/>
      <c r="Q75" s="6"/>
      <c r="R75" s="6"/>
      <c r="S75" s="6"/>
      <c r="T75" s="6"/>
      <c r="U75" s="6"/>
      <c r="V75" s="6">
        <f>(V74-W74)*O10</f>
        <v>0.74499999999999966</v>
      </c>
      <c r="W75" s="2">
        <f>INT(V76)</f>
        <v>4</v>
      </c>
      <c r="X75" s="2"/>
      <c r="Y75" s="2"/>
      <c r="Z75" s="2"/>
      <c r="AA75" s="6"/>
      <c r="AB75" s="6"/>
      <c r="AC75" s="6"/>
      <c r="AD75" s="6"/>
      <c r="AE75" s="1"/>
    </row>
    <row r="76" spans="2:31" ht="14.25">
      <c r="B76" s="1"/>
      <c r="C76" s="1"/>
      <c r="D76" s="6"/>
      <c r="E76" s="6"/>
      <c r="F76" s="6"/>
      <c r="G76" s="6"/>
      <c r="H76" s="6"/>
      <c r="I76" s="6"/>
      <c r="J76" s="6"/>
      <c r="K76" s="6"/>
      <c r="L76" s="6"/>
      <c r="M76" s="6"/>
      <c r="N76" s="6"/>
      <c r="O76" s="6"/>
      <c r="P76" s="6"/>
      <c r="Q76" s="6"/>
      <c r="R76" s="6"/>
      <c r="S76" s="6"/>
      <c r="T76" s="6"/>
      <c r="U76" s="6">
        <v>6</v>
      </c>
      <c r="V76" s="2">
        <f>V77/O10</f>
        <v>4.0042194092826993</v>
      </c>
      <c r="W76" s="2">
        <f>IF(V76&gt;(W75+0.02),ROUNDUP(V77,0),ROUNDDOWN(V76,0))</f>
        <v>4</v>
      </c>
      <c r="X76" s="2" t="s">
        <v>52</v>
      </c>
      <c r="Y76" s="2"/>
      <c r="Z76" s="2"/>
      <c r="AA76" s="6"/>
      <c r="AB76" s="6"/>
      <c r="AC76" s="6">
        <f>IF(U76&lt;P35,W76,IF(U76=P35,(W76)-((S36+W78-P34)/O10),0))</f>
        <v>4</v>
      </c>
      <c r="AD76" s="6"/>
      <c r="AE76" s="1"/>
    </row>
    <row r="77" spans="2:31" ht="14.25">
      <c r="B77" s="1"/>
      <c r="C77" s="1"/>
      <c r="D77" s="6"/>
      <c r="E77" s="6"/>
      <c r="F77" s="6"/>
      <c r="G77" s="6"/>
      <c r="H77" s="6"/>
      <c r="I77" s="6"/>
      <c r="J77" s="6"/>
      <c r="K77" s="6"/>
      <c r="L77" s="6"/>
      <c r="M77" s="6"/>
      <c r="N77" s="6"/>
      <c r="O77" s="6"/>
      <c r="P77" s="6"/>
      <c r="Q77" s="6"/>
      <c r="R77" s="6"/>
      <c r="S77" s="6"/>
      <c r="T77" s="6"/>
      <c r="U77" s="6"/>
      <c r="V77" s="2">
        <f>(S36*2)+V75</f>
        <v>4.7449999999999992</v>
      </c>
      <c r="W77" s="2"/>
      <c r="X77" s="2"/>
      <c r="Y77" s="2"/>
      <c r="Z77" s="2"/>
      <c r="AA77" s="6"/>
      <c r="AB77" s="6"/>
      <c r="AC77" s="6"/>
      <c r="AD77" s="6"/>
      <c r="AE77" s="1"/>
    </row>
    <row r="78" spans="2:31" ht="14.25">
      <c r="B78" s="1"/>
      <c r="C78" s="1"/>
      <c r="D78" s="6"/>
      <c r="E78" s="6"/>
      <c r="F78" s="6"/>
      <c r="G78" s="6"/>
      <c r="H78" s="6"/>
      <c r="I78" s="6"/>
      <c r="J78" s="6"/>
      <c r="K78" s="6"/>
      <c r="L78" s="6"/>
      <c r="M78" s="6"/>
      <c r="N78" s="6"/>
      <c r="O78" s="6"/>
      <c r="P78" s="6"/>
      <c r="Q78" s="6"/>
      <c r="R78" s="6"/>
      <c r="S78" s="6"/>
      <c r="T78" s="6"/>
      <c r="U78" s="6"/>
      <c r="V78" s="2">
        <f>W76*O10</f>
        <v>4.7400000000000002</v>
      </c>
      <c r="W78" s="2">
        <f>(V78-V77)</f>
        <v>-0.0049999999999990052</v>
      </c>
      <c r="X78" s="2"/>
      <c r="Y78" s="2"/>
      <c r="Z78" s="2"/>
      <c r="AA78" s="6"/>
      <c r="AB78" s="6"/>
      <c r="AC78" s="6"/>
      <c r="AD78" s="6"/>
      <c r="AE78" s="1"/>
    </row>
    <row r="79" spans="2:31" ht="14.25">
      <c r="B79" s="1"/>
      <c r="C79" s="1"/>
      <c r="D79" s="6"/>
      <c r="E79" s="6"/>
      <c r="F79" s="6"/>
      <c r="G79" s="6"/>
      <c r="H79" s="6"/>
      <c r="I79" s="6"/>
      <c r="J79" s="6"/>
      <c r="K79" s="6"/>
      <c r="L79" s="6"/>
      <c r="M79" s="6"/>
      <c r="N79" s="6"/>
      <c r="O79" s="6"/>
      <c r="P79" s="6"/>
      <c r="Q79" s="6"/>
      <c r="R79" s="6"/>
      <c r="S79" s="6"/>
      <c r="T79" s="6"/>
      <c r="U79" s="6"/>
      <c r="V79" s="2">
        <f>S10-(V78-V77)</f>
        <v>2.004999999999999</v>
      </c>
      <c r="W79" s="2"/>
      <c r="X79" s="2"/>
      <c r="Y79" s="2"/>
      <c r="Z79" s="2"/>
      <c r="AA79" s="6"/>
      <c r="AB79" s="6"/>
      <c r="AC79" s="6"/>
      <c r="AD79" s="6"/>
      <c r="AE79" s="1"/>
    </row>
    <row r="80" spans="2:31" ht="14.25">
      <c r="B80" s="1"/>
      <c r="C80" s="1"/>
      <c r="D80" s="6"/>
      <c r="E80" s="6"/>
      <c r="F80" s="6"/>
      <c r="G80" s="6"/>
      <c r="H80" s="6"/>
      <c r="I80" s="6"/>
      <c r="J80" s="6"/>
      <c r="K80" s="6"/>
      <c r="L80" s="6"/>
      <c r="M80" s="6"/>
      <c r="N80" s="6"/>
      <c r="O80" s="6"/>
      <c r="P80" s="6"/>
      <c r="Q80" s="6"/>
      <c r="R80" s="6"/>
      <c r="S80" s="6"/>
      <c r="T80" s="6"/>
      <c r="U80" s="6">
        <v>6</v>
      </c>
      <c r="V80" s="6">
        <f>V79/O10</f>
        <v>1.6919831223628683</v>
      </c>
      <c r="W80" s="2">
        <f>IF(V80&lt;(Y80-0.02),ROUNDDOWN(V80,0),ROUNDUP(V80,0))</f>
        <v>1</v>
      </c>
      <c r="X80" s="2" t="s">
        <v>53</v>
      </c>
      <c r="Y80" s="2">
        <f>ROUNDUP(V80,0)</f>
        <v>2</v>
      </c>
      <c r="Z80" s="2"/>
      <c r="AA80" s="6"/>
      <c r="AB80" s="6">
        <f>IF(U80&lt;P35,W80,0)</f>
        <v>1</v>
      </c>
      <c r="AC80" s="6"/>
      <c r="AD80" s="6"/>
      <c r="AE80" s="1"/>
    </row>
    <row r="81" spans="2:31" ht="14.25">
      <c r="B81" s="1"/>
      <c r="C81" s="1"/>
      <c r="D81" s="6"/>
      <c r="E81" s="6"/>
      <c r="F81" s="6"/>
      <c r="G81" s="6"/>
      <c r="H81" s="6"/>
      <c r="I81" s="6"/>
      <c r="J81" s="6"/>
      <c r="K81" s="6"/>
      <c r="L81" s="6"/>
      <c r="M81" s="6"/>
      <c r="N81" s="6"/>
      <c r="O81" s="6"/>
      <c r="P81" s="6"/>
      <c r="Q81" s="6"/>
      <c r="R81" s="6"/>
      <c r="S81" s="6"/>
      <c r="T81" s="6"/>
      <c r="U81" s="6"/>
      <c r="V81" s="6">
        <f>V80-W80</f>
        <v>0.6919831223628683</v>
      </c>
      <c r="W81" s="2"/>
      <c r="X81" s="2"/>
      <c r="Y81" s="2"/>
      <c r="Z81" s="2"/>
      <c r="AA81" s="6"/>
      <c r="AB81" s="6"/>
      <c r="AC81" s="6"/>
      <c r="AD81" s="6"/>
      <c r="AE81" s="1"/>
    </row>
    <row r="82" spans="2:31" ht="14.25">
      <c r="B82" s="1"/>
      <c r="C82" s="1"/>
      <c r="D82" s="6"/>
      <c r="E82" s="6"/>
      <c r="F82" s="6"/>
      <c r="G82" s="6"/>
      <c r="H82" s="6"/>
      <c r="I82" s="6"/>
      <c r="J82" s="6"/>
      <c r="K82" s="6"/>
      <c r="L82" s="6"/>
      <c r="M82" s="6"/>
      <c r="N82" s="6"/>
      <c r="O82" s="6"/>
      <c r="P82" s="6"/>
      <c r="Q82" s="6"/>
      <c r="R82" s="6"/>
      <c r="S82" s="6"/>
      <c r="T82" s="6"/>
      <c r="U82" s="6"/>
      <c r="V82" s="6">
        <f>V81*O10</f>
        <v>0.81999999999999895</v>
      </c>
      <c r="W82" s="2"/>
      <c r="X82" s="2"/>
      <c r="Y82" s="2"/>
      <c r="Z82" s="2"/>
      <c r="AA82" s="6"/>
      <c r="AB82" s="6"/>
      <c r="AC82" s="6"/>
      <c r="AD82" s="6"/>
      <c r="AE82" s="1"/>
    </row>
    <row r="83" spans="2:31" ht="14.25">
      <c r="B83" s="1"/>
      <c r="C83" s="1"/>
      <c r="D83" s="6"/>
      <c r="E83" s="6"/>
      <c r="F83" s="6"/>
      <c r="G83" s="6"/>
      <c r="H83" s="6"/>
      <c r="I83" s="6"/>
      <c r="J83" s="6"/>
      <c r="K83" s="6"/>
      <c r="L83" s="6"/>
      <c r="M83" s="6"/>
      <c r="N83" s="6"/>
      <c r="O83" s="6"/>
      <c r="P83" s="6"/>
      <c r="Q83" s="6"/>
      <c r="R83" s="6"/>
      <c r="S83" s="6"/>
      <c r="T83" s="6"/>
      <c r="U83" s="6"/>
      <c r="V83" s="6">
        <f>(S36*2)+V82</f>
        <v>4.8199999999999985</v>
      </c>
      <c r="W83" s="2">
        <f>INT(V84)</f>
        <v>4</v>
      </c>
      <c r="X83" s="2"/>
      <c r="Y83" s="2"/>
      <c r="Z83" s="2"/>
      <c r="AA83" s="6"/>
      <c r="AB83" s="6"/>
      <c r="AC83" s="6"/>
      <c r="AD83" s="6"/>
      <c r="AE83" s="1"/>
    </row>
    <row r="84" spans="2:31" ht="14.25">
      <c r="B84" s="1"/>
      <c r="C84" s="1"/>
      <c r="D84" s="1"/>
      <c r="E84" s="1"/>
      <c r="F84" s="1"/>
      <c r="G84" s="1"/>
      <c r="H84" s="1"/>
      <c r="I84" s="1"/>
      <c r="J84" s="1"/>
      <c r="K84" s="1"/>
      <c r="L84" s="1"/>
      <c r="M84" s="1"/>
      <c r="N84" s="1"/>
      <c r="O84" s="1"/>
      <c r="P84" s="1"/>
      <c r="Q84" s="1"/>
      <c r="R84" s="1"/>
      <c r="S84" s="1"/>
      <c r="T84" s="1"/>
      <c r="U84" s="6">
        <v>7</v>
      </c>
      <c r="V84" s="6">
        <f>V83/O10</f>
        <v>4.067510548523205</v>
      </c>
      <c r="W84" s="2">
        <f>IF(V84&gt;(W83+0.02),ROUNDUP(V84,0),ROUNDDOWN(V84,0))</f>
        <v>5</v>
      </c>
      <c r="X84" s="2" t="s">
        <v>52</v>
      </c>
      <c r="Y84" s="2"/>
      <c r="Z84" s="2"/>
      <c r="AA84" s="6"/>
      <c r="AB84" s="6"/>
      <c r="AC84" s="6">
        <f>IF(U84&lt;P35,W84,IF(U84=P35,W84-((S36+W86-P34)/O10),0))</f>
        <v>5</v>
      </c>
      <c r="AD84" s="6"/>
      <c r="AE84" s="1"/>
    </row>
    <row r="85" spans="2:31" ht="14.25">
      <c r="B85" s="1"/>
      <c r="C85" s="1"/>
      <c r="D85" s="1"/>
      <c r="E85" s="1"/>
      <c r="F85" s="1"/>
      <c r="G85" s="1"/>
      <c r="H85" s="1"/>
      <c r="I85" s="1"/>
      <c r="J85" s="1"/>
      <c r="K85" s="1"/>
      <c r="L85" s="1"/>
      <c r="M85" s="1"/>
      <c r="N85" s="1"/>
      <c r="O85" s="1"/>
      <c r="P85" s="1"/>
      <c r="Q85" s="1"/>
      <c r="R85" s="1"/>
      <c r="S85" s="1"/>
      <c r="T85" s="1"/>
      <c r="U85" s="6"/>
      <c r="V85" s="6">
        <f>W84*O10</f>
        <v>5.9250000000000007</v>
      </c>
      <c r="W85" s="2"/>
      <c r="X85" s="2"/>
      <c r="Y85" s="2"/>
      <c r="Z85" s="2"/>
      <c r="AA85" s="6"/>
      <c r="AB85" s="6"/>
      <c r="AC85" s="6"/>
      <c r="AD85" s="6"/>
      <c r="AE85" s="1"/>
    </row>
    <row r="86" spans="2:31" ht="14.25">
      <c r="B86" s="1"/>
      <c r="C86" s="6"/>
      <c r="D86" s="6">
        <f>IF((M41+((K41/100)*(O10/2))=O6),O6,M41)</f>
        <v>8.2620000000000005</v>
      </c>
      <c r="E86" s="6">
        <f>IF((M41+((K41/100)*(O10/2))=O6),O6,M42)</f>
        <v>8.5779999999999994</v>
      </c>
      <c r="F86" s="6">
        <f>IF((M42+((K41/100)*(O10/2))=O6),O6,M43)</f>
        <v>8.8940000000000001</v>
      </c>
      <c r="G86" s="6">
        <f>IF((M43+((K41/100)*(O10/2))=O6),O6,M44)</f>
        <v>9.2099999999999991</v>
      </c>
      <c r="H86" s="6">
        <f>IF((M44+((K41/100)*(O10/2))=O6),O6,M45)</f>
        <v>9.5259999999999998</v>
      </c>
      <c r="I86" s="6">
        <f>IF((M45+((K41/100)*(O10/2))=O6),O6,M46)</f>
        <v>9.8420000000000005</v>
      </c>
      <c r="J86" s="6">
        <f>IF((M46+((K41/100)*(O10/2))=O6),O6,M47)</f>
        <v>10</v>
      </c>
      <c r="K86" s="6">
        <f>IF((M47+((K41/100)*(O10/2))=O6),O6,M48)</f>
        <v>0</v>
      </c>
      <c r="L86" s="6">
        <f>IF((M48+((K41/100)*(O10/2))=O6),O6,M49)</f>
        <v>0</v>
      </c>
      <c r="M86" s="6">
        <f>IF((M49+((K41/100)*(O10/2))=O6),O6,M50)</f>
        <v>0</v>
      </c>
      <c r="N86" s="6">
        <f>IF((M50+((K41/100)*(O10/2))=O6),O6,M51)</f>
        <v>0</v>
      </c>
      <c r="O86" s="6">
        <f>IF((M51+((K41/100)*(O10/2))=O6),O6,M52)</f>
        <v>0</v>
      </c>
      <c r="P86" s="6">
        <f>IF((M52+((K41/100)*(O10/2))=O6),O6,M53)</f>
        <v>0</v>
      </c>
      <c r="Q86" s="6">
        <f>IF((M53+((K41/100)*(O10/2))=O6),O6,M54)</f>
        <v>0</v>
      </c>
      <c r="R86" s="6">
        <f>IF((M54+((K41/100)*(O10/2))=O6),O6,M55)</f>
        <v>0</v>
      </c>
      <c r="S86" s="1"/>
      <c r="T86" s="1"/>
      <c r="U86" s="6"/>
      <c r="V86" s="6">
        <f>(V85-V83)</f>
        <v>1.1050000000000022</v>
      </c>
      <c r="W86" s="2">
        <f>V85-V83</f>
        <v>1.1050000000000022</v>
      </c>
      <c r="X86" s="2"/>
      <c r="Y86" s="2"/>
      <c r="Z86" s="2"/>
      <c r="AA86" s="6"/>
      <c r="AB86" s="6"/>
      <c r="AC86" s="6"/>
      <c r="AD86" s="6"/>
      <c r="AE86" s="1"/>
    </row>
    <row r="87" spans="2:31" ht="14.25">
      <c r="B87" s="1"/>
      <c r="C87" s="6"/>
      <c r="D87" s="6">
        <f>IF(I$39=0,N41,IF(D86=O$6,1,IF(H40&gt;((O10/2)-0.05),2,1)))</f>
        <v>2</v>
      </c>
      <c r="E87" s="6">
        <f>IF($I39=0,N42,IF(E86=O$6,1,IF(E86=0,0,2)))</f>
        <v>2</v>
      </c>
      <c r="F87" s="6">
        <f>IF($I39=0,N43,IF(F86=O$6,1,IF(F86=0,0,2)))</f>
        <v>2</v>
      </c>
      <c r="G87" s="6">
        <f>IF($I39=0,N44,IF(G86=O$6,1,IF(G86=0,0,2)))</f>
        <v>2</v>
      </c>
      <c r="H87" s="6">
        <f>IF($I39=0,N45,IF(H86=O$6,1,IF(H86=0,0,2)))</f>
        <v>2</v>
      </c>
      <c r="I87" s="6">
        <f>IF($I39=0,N46,IF(I86=O$6,1,IF(I86=0,0,2)))</f>
        <v>2</v>
      </c>
      <c r="J87" s="6">
        <f>IF($I39=0,N47,IF(J86=O$6,1,IF(J86=0,0,2)))</f>
        <v>1</v>
      </c>
      <c r="K87" s="6">
        <f>IF($I39=0,N48,IF(K86=O$6,1,IF(K86=0,0,2)))</f>
        <v>0</v>
      </c>
      <c r="L87" s="6">
        <f>IF($I39=0,N49,IF(L86=O$6,1,IF(L86=0,0,2)))</f>
        <v>0</v>
      </c>
      <c r="M87" s="6">
        <f>IF($I39=0,N50,IF(M86=O$6,1,IF(M86=0,0,2)))</f>
        <v>0</v>
      </c>
      <c r="N87" s="6">
        <f>IF($I39=0,N51,IF(N86=O$6,1,IF(N86=0,0,2)))</f>
        <v>0</v>
      </c>
      <c r="O87" s="6">
        <f>IF($I39=0,N52,IF(O86=O$6,1,IF(O86=0,0,2)))</f>
        <v>0</v>
      </c>
      <c r="P87" s="6">
        <f>IF($I39=0,N53,IF(P86=O$6,1,IF(P86=0,0,2)))</f>
        <v>0</v>
      </c>
      <c r="Q87" s="6">
        <f>IF($I39=0,N54,IF(Q86=O$6,1,IF(Q86=0,0,2)))</f>
        <v>0</v>
      </c>
      <c r="R87" s="6">
        <f>IF($I39=0,N55,IF(R86=O$6,1,IF(R86=0,0,2)))</f>
        <v>0</v>
      </c>
      <c r="S87" s="1"/>
      <c r="T87" s="1"/>
      <c r="U87" s="6"/>
      <c r="V87" s="6">
        <f>S10-V86</f>
        <v>0.8949999999999978</v>
      </c>
      <c r="W87" s="2"/>
      <c r="X87" s="2"/>
      <c r="Y87" s="2"/>
      <c r="Z87" s="2"/>
      <c r="AA87" s="6"/>
      <c r="AB87" s="6"/>
      <c r="AC87" s="6"/>
      <c r="AD87" s="6"/>
      <c r="AE87" s="1"/>
    </row>
    <row r="88" spans="2:31" ht="14.25">
      <c r="B88" s="1"/>
      <c r="C88" s="6"/>
      <c r="D88" s="6">
        <f>IF((M55+((K41/100)*(O10/2))=O6),O6,M56)</f>
        <v>0</v>
      </c>
      <c r="E88" s="6">
        <f>IF((M56+((K41/100)*(O10/2))=O6),O6,M57)</f>
        <v>0</v>
      </c>
      <c r="F88" s="6">
        <f>IF((M57+((K41/100)*(O10/2))=O6),O6,M58)</f>
        <v>0</v>
      </c>
      <c r="G88" s="6">
        <f>IF((M58+((K41/100)*(O10/2))=O6),O6,M59)</f>
        <v>0</v>
      </c>
      <c r="H88" s="6">
        <f>IF((M59+((K41/100)*(O10/2))=O6),O6,M60)</f>
        <v>0</v>
      </c>
      <c r="I88" s="6">
        <f>IF((M60+((K41/100)*(O10/2))=O6),O6,M61)</f>
        <v>0</v>
      </c>
      <c r="J88" s="6">
        <f>IF((M61+((K41/100)*(O10/2))=O6),O6,M62)</f>
        <v>0</v>
      </c>
      <c r="K88" s="6">
        <f>IF((M62+((K41/100)*(O10/2))=O6),O6,M63)</f>
        <v>0</v>
      </c>
      <c r="L88" s="6">
        <f>IF((M63+((K41/100)*(O10/2))=O6),O6,M64)</f>
        <v>0</v>
      </c>
      <c r="M88" s="6">
        <f>IF((M64+((K41/100)*(O10/2))=O6),O6,M65)</f>
        <v>0</v>
      </c>
      <c r="N88" s="6">
        <f>IF((M65+((K41/100)*(O10/2))=O6),O6,M66)</f>
        <v>0</v>
      </c>
      <c r="O88" s="6">
        <f>IF((M66+((K41/100)*(O10/2))=O6),O6,M67)</f>
        <v>0</v>
      </c>
      <c r="P88" s="6">
        <f>IF((M67+((K41/100)*(O10/2))=O6),O6,M68)</f>
        <v>0</v>
      </c>
      <c r="Q88" s="6">
        <f>IF((M68+((K41/100)*(O10/2))=O6),O6,M69)</f>
        <v>0</v>
      </c>
      <c r="R88" s="6">
        <f>IF((M69+((K41/100)*(O10/2))=O6),O6,M70)</f>
        <v>0</v>
      </c>
      <c r="S88" s="1"/>
      <c r="T88" s="1"/>
      <c r="U88" s="6">
        <v>7</v>
      </c>
      <c r="V88" s="6">
        <f>V87/O10</f>
        <v>0.75527426160337363</v>
      </c>
      <c r="W88" s="2">
        <f>IF(V88&lt;(Y88-0.02),ROUNDDOWN(V88,0),ROUNDUP(V88,0))</f>
        <v>0</v>
      </c>
      <c r="X88" s="2" t="s">
        <v>53</v>
      </c>
      <c r="Y88" s="2">
        <f>ROUNDUP(V88,0)</f>
        <v>1</v>
      </c>
      <c r="Z88" s="2"/>
      <c r="AA88" s="6"/>
      <c r="AB88" s="6">
        <f>IF(U88&lt;P35,W88,0)</f>
        <v>0</v>
      </c>
      <c r="AC88" s="6"/>
      <c r="AD88" s="6"/>
      <c r="AE88" s="1"/>
    </row>
    <row r="89" spans="2:31" ht="14.25">
      <c r="B89" s="1"/>
      <c r="C89" s="6"/>
      <c r="D89" s="6">
        <f>IF($I39=0,N56,IF(D88=$O6,1,IF(D88=0,0,2)))</f>
        <v>0</v>
      </c>
      <c r="E89" s="6">
        <f>IF($I39=0,N57,IF(E88=$O6,1,IF(E88=0,0,2)))</f>
        <v>0</v>
      </c>
      <c r="F89" s="6">
        <f>IF($I39=0,N58,IF(F88=$O6,1,IF(F88=0,0,2)))</f>
        <v>0</v>
      </c>
      <c r="G89" s="6">
        <f>IF($I39=0,N59,IF(G88=$O6,1,IF(G88=0,0,2)))</f>
        <v>0</v>
      </c>
      <c r="H89" s="6">
        <f>IF($I39=0,N60,IF(H88=$O6,1,IF(H88=0,0,2)))</f>
        <v>0</v>
      </c>
      <c r="I89" s="6">
        <f>IF($I39=0,N61,IF(I88=$O6,1,IF(I88=0,0,2)))</f>
        <v>0</v>
      </c>
      <c r="J89" s="6">
        <f>IF($I39=0,N62,IF(J88=$O6,1,IF(J88=0,0,2)))</f>
        <v>0</v>
      </c>
      <c r="K89" s="6">
        <f>IF($I39=0,N63,IF(K88=$O6,1,IF(K88=0,0,2)))</f>
        <v>0</v>
      </c>
      <c r="L89" s="6">
        <f>IF($I39=0,N64,IF(L88=$O6,1,IF(L88=0,0,2)))</f>
        <v>0</v>
      </c>
      <c r="M89" s="6">
        <f>IF($I39=0,N65,IF(M88=$O6,1,IF(M88=0,0,2)))</f>
        <v>0</v>
      </c>
      <c r="N89" s="6">
        <f>IF($I39=0,N66,IF(N88=$O6,1,IF(N88=0,0,2)))</f>
        <v>0</v>
      </c>
      <c r="O89" s="6">
        <f>IF($I39=0,N67,IF(O88=$O6,1,IF(O88=0,0,2)))</f>
        <v>0</v>
      </c>
      <c r="P89" s="6">
        <f>IF($I39=0,N68,IF(P88=$O6,1,IF(P88=0,0,2)))</f>
        <v>0</v>
      </c>
      <c r="Q89" s="6">
        <f>IF($I39=0,N69,IF(Q88=$O6,1,IF(Q88=0,0,2)))</f>
        <v>0</v>
      </c>
      <c r="R89" s="6">
        <f>IF($I39=0,N70,IF(R88=$O6,1,IF(R88=0,0,2)))</f>
        <v>0</v>
      </c>
      <c r="S89" s="1"/>
      <c r="T89" s="1"/>
      <c r="U89" s="6"/>
      <c r="V89" s="6">
        <f>W88*O10</f>
        <v>0</v>
      </c>
      <c r="W89" s="2"/>
      <c r="X89" s="2"/>
      <c r="Y89" s="2"/>
      <c r="Z89" s="2"/>
      <c r="AA89" s="6"/>
      <c r="AB89" s="6"/>
      <c r="AC89" s="6"/>
      <c r="AD89" s="6"/>
      <c r="AE89" s="1"/>
    </row>
    <row r="90" spans="2:31" ht="14.25">
      <c r="B90" s="1"/>
      <c r="C90" s="6"/>
      <c r="D90" s="6"/>
      <c r="E90" s="6"/>
      <c r="F90" s="6"/>
      <c r="G90" s="6"/>
      <c r="H90" s="6"/>
      <c r="I90" s="6"/>
      <c r="J90" s="6"/>
      <c r="K90" s="6"/>
      <c r="L90" s="6"/>
      <c r="M90" s="6"/>
      <c r="N90" s="6"/>
      <c r="O90" s="6"/>
      <c r="P90" s="6"/>
      <c r="Q90" s="6"/>
      <c r="R90" s="6"/>
      <c r="S90" s="1"/>
      <c r="T90" s="1"/>
      <c r="U90" s="6"/>
      <c r="V90" s="6">
        <f>V87-V89</f>
        <v>0.8949999999999978</v>
      </c>
      <c r="W90" s="2"/>
      <c r="X90" s="2"/>
      <c r="Y90" s="2"/>
      <c r="Z90" s="2"/>
      <c r="AA90" s="6"/>
      <c r="AB90" s="6"/>
      <c r="AC90" s="6"/>
      <c r="AD90" s="6"/>
      <c r="AE90" s="1"/>
    </row>
    <row r="91" spans="2:31" ht="14.25">
      <c r="B91" s="1"/>
      <c r="C91" s="6"/>
      <c r="D91" s="6"/>
      <c r="E91" s="6"/>
      <c r="F91" s="6"/>
      <c r="G91" s="6"/>
      <c r="H91" s="6"/>
      <c r="I91" s="6"/>
      <c r="J91" s="6"/>
      <c r="K91" s="6"/>
      <c r="L91" s="6"/>
      <c r="M91" s="6"/>
      <c r="N91" s="6"/>
      <c r="O91" s="6"/>
      <c r="P91" s="6"/>
      <c r="Q91" s="6"/>
      <c r="R91" s="6"/>
      <c r="S91" s="1"/>
      <c r="T91" s="1"/>
      <c r="U91" s="6"/>
      <c r="V91" s="6">
        <f>V90+(S36*2)</f>
        <v>4.8949999999999978</v>
      </c>
      <c r="W91" s="2">
        <f>INT(V92)</f>
        <v>4</v>
      </c>
      <c r="X91" s="2"/>
      <c r="Y91" s="2"/>
      <c r="Z91" s="2"/>
      <c r="AA91" s="6"/>
      <c r="AB91" s="6"/>
      <c r="AC91" s="6"/>
      <c r="AD91" s="6"/>
      <c r="AE91" s="1"/>
    </row>
    <row r="92" spans="2:31" ht="14.25">
      <c r="B92" s="1"/>
      <c r="C92" s="6"/>
      <c r="D92" s="6">
        <f>ROUND(D86,2)</f>
        <v>8.2599999999999998</v>
      </c>
      <c r="E92" s="6">
        <f t="shared" si="11" ref="E92:R92">ROUND(E86,2)</f>
        <v>8.5800000000000001</v>
      </c>
      <c r="F92" s="6">
        <f t="shared" si="11"/>
        <v>8.8900000000000006</v>
      </c>
      <c r="G92" s="6">
        <f t="shared" si="11"/>
        <v>9.2100000000000009</v>
      </c>
      <c r="H92" s="6">
        <f t="shared" si="11"/>
        <v>9.5299999999999994</v>
      </c>
      <c r="I92" s="6">
        <f t="shared" si="11"/>
        <v>9.8399999999999999</v>
      </c>
      <c r="J92" s="6">
        <f t="shared" si="11"/>
        <v>10</v>
      </c>
      <c r="K92" s="6">
        <f>ROUND(K86,2)</f>
        <v>0</v>
      </c>
      <c r="L92" s="6">
        <f t="shared" si="11"/>
        <v>0</v>
      </c>
      <c r="M92" s="6">
        <f t="shared" si="11"/>
        <v>0</v>
      </c>
      <c r="N92" s="6">
        <f t="shared" si="11"/>
        <v>0</v>
      </c>
      <c r="O92" s="6">
        <f t="shared" si="11"/>
        <v>0</v>
      </c>
      <c r="P92" s="6">
        <f t="shared" si="11"/>
        <v>0</v>
      </c>
      <c r="Q92" s="6">
        <f t="shared" si="11"/>
        <v>0</v>
      </c>
      <c r="R92" s="6">
        <f t="shared" si="11"/>
        <v>0</v>
      </c>
      <c r="S92" s="1"/>
      <c r="T92" s="1"/>
      <c r="U92" s="6">
        <v>8</v>
      </c>
      <c r="V92" s="6">
        <f>V91/O10</f>
        <v>4.1308016877637108</v>
      </c>
      <c r="W92" s="2">
        <f>IF(V92&gt;(W91+0.02),ROUNDUP(V92,0),ROUNDDOWN(V92,0))</f>
        <v>5</v>
      </c>
      <c r="X92" s="2" t="s">
        <v>52</v>
      </c>
      <c r="Y92" s="2"/>
      <c r="Z92" s="2"/>
      <c r="AA92" s="6"/>
      <c r="AB92" s="6"/>
      <c r="AC92" s="6">
        <f>IF(U92&lt;P35,W92,IF(U92=P35,W92-((S36+W94-P34)/O10),0))</f>
        <v>5</v>
      </c>
      <c r="AD92" s="6"/>
      <c r="AE92" s="1"/>
    </row>
    <row r="93" spans="2:31" ht="14.25">
      <c r="B93" s="1"/>
      <c r="C93" s="6"/>
      <c r="D93" s="6">
        <f>D87</f>
        <v>2</v>
      </c>
      <c r="E93" s="6">
        <f t="shared" si="12" ref="E93:R93">E87</f>
        <v>2</v>
      </c>
      <c r="F93" s="6">
        <f t="shared" si="12"/>
        <v>2</v>
      </c>
      <c r="G93" s="6">
        <f t="shared" si="12"/>
        <v>2</v>
      </c>
      <c r="H93" s="6">
        <f t="shared" si="12"/>
        <v>2</v>
      </c>
      <c r="I93" s="6">
        <f t="shared" si="12"/>
        <v>2</v>
      </c>
      <c r="J93" s="6">
        <f t="shared" si="12"/>
        <v>1</v>
      </c>
      <c r="K93" s="6">
        <f t="shared" si="12"/>
        <v>0</v>
      </c>
      <c r="L93" s="6">
        <f t="shared" si="12"/>
        <v>0</v>
      </c>
      <c r="M93" s="6">
        <f t="shared" si="12"/>
        <v>0</v>
      </c>
      <c r="N93" s="6">
        <f t="shared" si="12"/>
        <v>0</v>
      </c>
      <c r="O93" s="6">
        <f t="shared" si="12"/>
        <v>0</v>
      </c>
      <c r="P93" s="6">
        <f t="shared" si="12"/>
        <v>0</v>
      </c>
      <c r="Q93" s="6">
        <f t="shared" si="12"/>
        <v>0</v>
      </c>
      <c r="R93" s="6">
        <f t="shared" si="12"/>
        <v>0</v>
      </c>
      <c r="S93" s="1"/>
      <c r="T93" s="1"/>
      <c r="U93" s="6"/>
      <c r="V93" s="6">
        <f>(W92-V92)*O10</f>
        <v>1.0300000000000027</v>
      </c>
      <c r="W93" s="2">
        <f>W92*O10</f>
        <v>5.9250000000000007</v>
      </c>
      <c r="X93" s="2"/>
      <c r="Y93" s="2"/>
      <c r="Z93" s="2"/>
      <c r="AA93" s="6"/>
      <c r="AB93" s="6"/>
      <c r="AC93" s="6"/>
      <c r="AD93" s="6"/>
      <c r="AE93" s="1"/>
    </row>
    <row r="94" spans="2:31" ht="14.25">
      <c r="B94" s="1"/>
      <c r="C94" s="6"/>
      <c r="D94" s="6">
        <f t="shared" si="13" ref="D94:R94">ROUND(D88,2)</f>
        <v>0</v>
      </c>
      <c r="E94" s="6">
        <f t="shared" si="13"/>
        <v>0</v>
      </c>
      <c r="F94" s="6">
        <f t="shared" si="13"/>
        <v>0</v>
      </c>
      <c r="G94" s="6">
        <f t="shared" si="13"/>
        <v>0</v>
      </c>
      <c r="H94" s="6">
        <f t="shared" si="13"/>
        <v>0</v>
      </c>
      <c r="I94" s="6">
        <f t="shared" si="13"/>
        <v>0</v>
      </c>
      <c r="J94" s="6">
        <f t="shared" si="13"/>
        <v>0</v>
      </c>
      <c r="K94" s="6">
        <f t="shared" si="13"/>
        <v>0</v>
      </c>
      <c r="L94" s="6">
        <f t="shared" si="13"/>
        <v>0</v>
      </c>
      <c r="M94" s="6">
        <f t="shared" si="13"/>
        <v>0</v>
      </c>
      <c r="N94" s="6">
        <f t="shared" si="13"/>
        <v>0</v>
      </c>
      <c r="O94" s="6">
        <f t="shared" si="13"/>
        <v>0</v>
      </c>
      <c r="P94" s="6">
        <f t="shared" si="13"/>
        <v>0</v>
      </c>
      <c r="Q94" s="6">
        <f t="shared" si="13"/>
        <v>0</v>
      </c>
      <c r="R94" s="6">
        <f t="shared" si="13"/>
        <v>0</v>
      </c>
      <c r="S94" s="1"/>
      <c r="T94" s="1"/>
      <c r="U94" s="6"/>
      <c r="V94" s="6">
        <f>S10-V93</f>
        <v>0.96999999999999731</v>
      </c>
      <c r="W94" s="2">
        <f>W93-V91</f>
        <v>1.0300000000000029</v>
      </c>
      <c r="X94" s="2"/>
      <c r="Y94" s="2"/>
      <c r="Z94" s="2"/>
      <c r="AA94" s="6"/>
      <c r="AB94" s="6"/>
      <c r="AC94" s="6"/>
      <c r="AD94" s="6"/>
      <c r="AE94" s="1"/>
    </row>
    <row r="95" spans="2:31" ht="14.25">
      <c r="B95" s="1"/>
      <c r="C95" s="6"/>
      <c r="D95" s="6">
        <f t="shared" si="14" ref="D95:R95">D89</f>
        <v>0</v>
      </c>
      <c r="E95" s="6">
        <f t="shared" si="14"/>
        <v>0</v>
      </c>
      <c r="F95" s="6">
        <f t="shared" si="14"/>
        <v>0</v>
      </c>
      <c r="G95" s="6">
        <f t="shared" si="14"/>
        <v>0</v>
      </c>
      <c r="H95" s="6">
        <f t="shared" si="14"/>
        <v>0</v>
      </c>
      <c r="I95" s="6">
        <f t="shared" si="14"/>
        <v>0</v>
      </c>
      <c r="J95" s="6">
        <f t="shared" si="14"/>
        <v>0</v>
      </c>
      <c r="K95" s="6">
        <f t="shared" si="14"/>
        <v>0</v>
      </c>
      <c r="L95" s="6">
        <f t="shared" si="14"/>
        <v>0</v>
      </c>
      <c r="M95" s="6">
        <f t="shared" si="14"/>
        <v>0</v>
      </c>
      <c r="N95" s="6">
        <f t="shared" si="14"/>
        <v>0</v>
      </c>
      <c r="O95" s="6">
        <f t="shared" si="14"/>
        <v>0</v>
      </c>
      <c r="P95" s="6">
        <f t="shared" si="14"/>
        <v>0</v>
      </c>
      <c r="Q95" s="6">
        <f t="shared" si="14"/>
        <v>0</v>
      </c>
      <c r="R95" s="6">
        <f t="shared" si="14"/>
        <v>0</v>
      </c>
      <c r="S95" s="1"/>
      <c r="T95" s="1"/>
      <c r="U95" s="6">
        <v>8</v>
      </c>
      <c r="V95" s="6">
        <f>V94/O10</f>
        <v>0.81856540084387952</v>
      </c>
      <c r="W95" s="2">
        <f>IF(V95&lt;(Y95-0.02),ROUNDDOWN(V95,0),ROUNDUP(V95,0))</f>
        <v>0</v>
      </c>
      <c r="X95" s="2" t="s">
        <v>53</v>
      </c>
      <c r="Y95" s="2">
        <f>ROUNDUP(V95,0)</f>
        <v>1</v>
      </c>
      <c r="Z95" s="2"/>
      <c r="AA95" s="6"/>
      <c r="AB95" s="6">
        <f>IF(U95&lt;P35,W95,0)</f>
        <v>0</v>
      </c>
      <c r="AC95" s="6"/>
      <c r="AD95" s="6"/>
      <c r="AE95" s="1"/>
    </row>
    <row r="96" spans="2:31" ht="14.25">
      <c r="B96" s="1"/>
      <c r="C96" s="6"/>
      <c r="D96" s="6"/>
      <c r="E96" s="6"/>
      <c r="F96" s="6"/>
      <c r="G96" s="6"/>
      <c r="H96" s="6"/>
      <c r="I96" s="6"/>
      <c r="J96" s="6"/>
      <c r="K96" s="6"/>
      <c r="L96" s="6"/>
      <c r="M96" s="6"/>
      <c r="N96" s="6"/>
      <c r="O96" s="6"/>
      <c r="P96" s="6"/>
      <c r="Q96" s="6"/>
      <c r="R96" s="6"/>
      <c r="S96" s="1"/>
      <c r="T96" s="1"/>
      <c r="U96" s="6"/>
      <c r="V96" s="6">
        <f>V94-(W95*O10)</f>
        <v>0.96999999999999731</v>
      </c>
      <c r="W96" s="2"/>
      <c r="X96" s="2"/>
      <c r="Y96" s="2"/>
      <c r="Z96" s="2"/>
      <c r="AA96" s="6"/>
      <c r="AB96" s="6"/>
      <c r="AC96" s="6"/>
      <c r="AD96" s="6"/>
      <c r="AE96" s="1"/>
    </row>
    <row r="97" spans="2:31" ht="14.25">
      <c r="B97" s="1"/>
      <c r="C97" s="6"/>
      <c r="D97" s="6"/>
      <c r="E97" s="6"/>
      <c r="F97" s="6"/>
      <c r="G97" s="6"/>
      <c r="H97" s="6"/>
      <c r="I97" s="6"/>
      <c r="J97" s="6"/>
      <c r="K97" s="6"/>
      <c r="L97" s="6"/>
      <c r="M97" s="6"/>
      <c r="N97" s="6"/>
      <c r="O97" s="6"/>
      <c r="P97" s="6"/>
      <c r="Q97" s="6"/>
      <c r="R97" s="6"/>
      <c r="S97" s="1"/>
      <c r="T97" s="1"/>
      <c r="U97" s="6"/>
      <c r="V97" s="6">
        <f>(S36*2)+V96</f>
        <v>4.9699999999999971</v>
      </c>
      <c r="W97" s="2">
        <f>INT(V98)</f>
        <v>4</v>
      </c>
      <c r="X97" s="2"/>
      <c r="Y97" s="2"/>
      <c r="Z97" s="2"/>
      <c r="AA97" s="6"/>
      <c r="AB97" s="6"/>
      <c r="AC97" s="6"/>
      <c r="AD97" s="6"/>
      <c r="AE97" s="1"/>
    </row>
    <row r="98" spans="2:31" ht="14.25">
      <c r="B98" s="1"/>
      <c r="C98" s="6"/>
      <c r="D98" s="6">
        <f t="shared" si="15" ref="D98:Q98">IF(D92&gt;0,D92-$S13,0)</f>
        <v>4.2599999999999998</v>
      </c>
      <c r="E98" s="6">
        <f t="shared" si="15"/>
        <v>4.5800000000000001</v>
      </c>
      <c r="F98" s="6">
        <f t="shared" si="15"/>
        <v>4.8900000000000006</v>
      </c>
      <c r="G98" s="6">
        <f t="shared" si="15"/>
        <v>5.2100000000000009</v>
      </c>
      <c r="H98" s="6">
        <f t="shared" si="15"/>
        <v>5.5299999999999994</v>
      </c>
      <c r="I98" s="6">
        <f t="shared" si="15"/>
        <v>5.8399999999999999</v>
      </c>
      <c r="J98" s="6">
        <f t="shared" si="15"/>
        <v>6</v>
      </c>
      <c r="K98" s="6">
        <f t="shared" si="15"/>
        <v>0</v>
      </c>
      <c r="L98" s="6">
        <f t="shared" si="15"/>
        <v>0</v>
      </c>
      <c r="M98" s="6">
        <f t="shared" si="15"/>
        <v>0</v>
      </c>
      <c r="N98" s="6">
        <f t="shared" si="15"/>
        <v>0</v>
      </c>
      <c r="O98" s="6">
        <f t="shared" si="15"/>
        <v>0</v>
      </c>
      <c r="P98" s="6">
        <f t="shared" si="15"/>
        <v>0</v>
      </c>
      <c r="Q98" s="6">
        <f t="shared" si="15"/>
        <v>0</v>
      </c>
      <c r="R98" s="6">
        <f>IF(R92&gt;0,R92-$S13,0)</f>
        <v>0</v>
      </c>
      <c r="S98" s="1"/>
      <c r="T98" s="1"/>
      <c r="U98" s="6">
        <v>9</v>
      </c>
      <c r="V98" s="6">
        <f>V97/O10</f>
        <v>4.1940928270042166</v>
      </c>
      <c r="W98" s="2">
        <f>IF(V98&gt;(W97+0.02),ROUNDUP(V98,0),ROUNDDOWN(V98,0))</f>
        <v>5</v>
      </c>
      <c r="X98" s="2" t="s">
        <v>52</v>
      </c>
      <c r="Y98" s="2"/>
      <c r="Z98" s="2"/>
      <c r="AA98" s="6"/>
      <c r="AB98" s="6"/>
      <c r="AC98" s="6">
        <f>IF(U98&lt;P35,W98,IF(U98=P35,W98-((S36+W100-P34)/O10),0))</f>
        <v>5</v>
      </c>
      <c r="AD98" s="6"/>
      <c r="AE98" s="1"/>
    </row>
    <row r="99" spans="2:31" ht="14.25">
      <c r="B99" s="1"/>
      <c r="C99" s="6"/>
      <c r="D99" s="6">
        <f t="shared" si="16" ref="D99:R99">IF(D94&gt;0,D94-$S13,0)</f>
        <v>0</v>
      </c>
      <c r="E99" s="6">
        <f t="shared" si="16"/>
        <v>0</v>
      </c>
      <c r="F99" s="6">
        <f t="shared" si="16"/>
        <v>0</v>
      </c>
      <c r="G99" s="6">
        <f t="shared" si="16"/>
        <v>0</v>
      </c>
      <c r="H99" s="6">
        <f t="shared" si="16"/>
        <v>0</v>
      </c>
      <c r="I99" s="6">
        <f t="shared" si="16"/>
        <v>0</v>
      </c>
      <c r="J99" s="6">
        <f t="shared" si="16"/>
        <v>0</v>
      </c>
      <c r="K99" s="6">
        <f t="shared" si="16"/>
        <v>0</v>
      </c>
      <c r="L99" s="6">
        <f t="shared" si="16"/>
        <v>0</v>
      </c>
      <c r="M99" s="6">
        <f t="shared" si="16"/>
        <v>0</v>
      </c>
      <c r="N99" s="6">
        <f t="shared" si="16"/>
        <v>0</v>
      </c>
      <c r="O99" s="6">
        <f t="shared" si="16"/>
        <v>0</v>
      </c>
      <c r="P99" s="6">
        <f t="shared" si="16"/>
        <v>0</v>
      </c>
      <c r="Q99" s="6">
        <f t="shared" si="16"/>
        <v>0</v>
      </c>
      <c r="R99" s="6">
        <f t="shared" si="16"/>
        <v>0</v>
      </c>
      <c r="S99" s="1"/>
      <c r="T99" s="1"/>
      <c r="U99" s="6"/>
      <c r="V99" s="6">
        <f>W98*O10</f>
        <v>5.9250000000000007</v>
      </c>
      <c r="W99" s="2"/>
      <c r="X99" s="2"/>
      <c r="Y99" s="2"/>
      <c r="Z99" s="2"/>
      <c r="AA99" s="6"/>
      <c r="AB99" s="6"/>
      <c r="AC99" s="6"/>
      <c r="AD99" s="6"/>
      <c r="AE99" s="1"/>
    </row>
    <row r="100" spans="2:31" ht="14.25">
      <c r="B100" s="1"/>
      <c r="C100" s="6"/>
      <c r="D100" s="6"/>
      <c r="E100" s="6"/>
      <c r="F100" s="6"/>
      <c r="G100" s="6"/>
      <c r="H100" s="6"/>
      <c r="I100" s="6"/>
      <c r="J100" s="6"/>
      <c r="K100" s="6"/>
      <c r="L100" s="6"/>
      <c r="M100" s="6"/>
      <c r="N100" s="6"/>
      <c r="O100" s="6"/>
      <c r="P100" s="6"/>
      <c r="Q100" s="6"/>
      <c r="R100" s="6"/>
      <c r="S100" s="1"/>
      <c r="T100" s="1"/>
      <c r="U100" s="6"/>
      <c r="V100" s="6">
        <f>V99-V97</f>
        <v>0.95500000000000362</v>
      </c>
      <c r="W100" s="2">
        <f>V99-V97</f>
        <v>0.95500000000000362</v>
      </c>
      <c r="X100" s="2"/>
      <c r="Y100" s="2"/>
      <c r="Z100" s="2"/>
      <c r="AA100" s="6"/>
      <c r="AB100" s="6"/>
      <c r="AC100" s="6"/>
      <c r="AD100" s="6"/>
      <c r="AE100" s="1"/>
    </row>
    <row r="101" spans="2:31" ht="14.25">
      <c r="B101" s="1"/>
      <c r="C101" s="6"/>
      <c r="D101" s="6">
        <f t="shared" si="17" ref="D101:P101">IF(D98&gt;0,1,0)+E101</f>
        <v>7</v>
      </c>
      <c r="E101" s="6">
        <f t="shared" si="17"/>
        <v>6</v>
      </c>
      <c r="F101" s="6">
        <f t="shared" si="17"/>
        <v>5</v>
      </c>
      <c r="G101" s="6">
        <f t="shared" si="17"/>
        <v>4</v>
      </c>
      <c r="H101" s="6">
        <f t="shared" si="17"/>
        <v>3</v>
      </c>
      <c r="I101" s="6">
        <f t="shared" si="17"/>
        <v>2</v>
      </c>
      <c r="J101" s="6">
        <f t="shared" si="17"/>
        <v>1</v>
      </c>
      <c r="K101" s="6">
        <f t="shared" si="17"/>
        <v>0</v>
      </c>
      <c r="L101" s="6">
        <f t="shared" si="17"/>
        <v>0</v>
      </c>
      <c r="M101" s="6">
        <f t="shared" si="17"/>
        <v>0</v>
      </c>
      <c r="N101" s="6">
        <f t="shared" si="17"/>
        <v>0</v>
      </c>
      <c r="O101" s="6">
        <f t="shared" si="17"/>
        <v>0</v>
      </c>
      <c r="P101" s="6">
        <f t="shared" si="17"/>
        <v>0</v>
      </c>
      <c r="Q101" s="6">
        <f>IF(Q98&gt;0,1,0)+R101</f>
        <v>0</v>
      </c>
      <c r="R101" s="6">
        <f>IF(R98&gt;0,1,0)+D102</f>
        <v>0</v>
      </c>
      <c r="S101" s="1"/>
      <c r="T101" s="1"/>
      <c r="U101" s="6"/>
      <c r="V101" s="6">
        <f>S10-V100</f>
        <v>1.0449999999999964</v>
      </c>
      <c r="W101" s="2"/>
      <c r="X101" s="2"/>
      <c r="Y101" s="2"/>
      <c r="Z101" s="2"/>
      <c r="AA101" s="6"/>
      <c r="AB101" s="6"/>
      <c r="AC101" s="6"/>
      <c r="AD101" s="6"/>
      <c r="AE101" s="1"/>
    </row>
    <row r="102" spans="2:31" ht="14.25">
      <c r="B102" s="1"/>
      <c r="C102" s="6"/>
      <c r="D102" s="6">
        <f>IF(D99&gt;0,1,0)+E102</f>
        <v>0</v>
      </c>
      <c r="E102" s="6">
        <f t="shared" si="18" ref="E102:P102">IF(E99&gt;0,1,0)+F102</f>
        <v>0</v>
      </c>
      <c r="F102" s="6">
        <f t="shared" si="18"/>
        <v>0</v>
      </c>
      <c r="G102" s="6">
        <f t="shared" si="18"/>
        <v>0</v>
      </c>
      <c r="H102" s="6">
        <f t="shared" si="18"/>
        <v>0</v>
      </c>
      <c r="I102" s="6">
        <f t="shared" si="18"/>
        <v>0</v>
      </c>
      <c r="J102" s="6">
        <f t="shared" si="18"/>
        <v>0</v>
      </c>
      <c r="K102" s="6">
        <f t="shared" si="18"/>
        <v>0</v>
      </c>
      <c r="L102" s="6">
        <f t="shared" si="18"/>
        <v>0</v>
      </c>
      <c r="M102" s="6">
        <f t="shared" si="18"/>
        <v>0</v>
      </c>
      <c r="N102" s="6">
        <f t="shared" si="18"/>
        <v>0</v>
      </c>
      <c r="O102" s="6">
        <f t="shared" si="18"/>
        <v>0</v>
      </c>
      <c r="P102" s="6">
        <f t="shared" si="18"/>
        <v>0</v>
      </c>
      <c r="Q102" s="6">
        <f>IF(Q99&gt;0,1,0)+R102</f>
        <v>0</v>
      </c>
      <c r="R102" s="6">
        <f>IF(R99&gt;0,1,0)</f>
        <v>0</v>
      </c>
      <c r="S102" s="1"/>
      <c r="T102" s="1"/>
      <c r="U102" s="6">
        <v>9</v>
      </c>
      <c r="V102" s="6">
        <f>V101/O10</f>
        <v>0.88185654008438508</v>
      </c>
      <c r="W102" s="2">
        <f>IF(V102&lt;(Y102-0.02),ROUNDDOWN(V102,0),ROUNDUP(V102,0))</f>
        <v>0</v>
      </c>
      <c r="X102" s="2" t="s">
        <v>53</v>
      </c>
      <c r="Y102" s="2">
        <f>ROUNDUP(V102,0)</f>
        <v>1</v>
      </c>
      <c r="Z102" s="2"/>
      <c r="AA102" s="6"/>
      <c r="AB102" s="6">
        <f>IF(U102&lt;P35,W102,0)</f>
        <v>0</v>
      </c>
      <c r="AC102" s="6"/>
      <c r="AD102" s="6"/>
      <c r="AE102" s="1"/>
    </row>
    <row r="103" spans="2:31" ht="14.25">
      <c r="B103" s="1"/>
      <c r="C103" s="6"/>
      <c r="D103" s="6"/>
      <c r="E103" s="6"/>
      <c r="F103" s="6"/>
      <c r="G103" s="6"/>
      <c r="H103" s="6"/>
      <c r="I103" s="6"/>
      <c r="J103" s="6"/>
      <c r="K103" s="6"/>
      <c r="L103" s="6"/>
      <c r="M103" s="6"/>
      <c r="N103" s="6"/>
      <c r="O103" s="6"/>
      <c r="P103" s="6"/>
      <c r="Q103" s="6"/>
      <c r="R103" s="6"/>
      <c r="S103" s="1"/>
      <c r="T103" s="1"/>
      <c r="U103" s="6"/>
      <c r="V103" s="6">
        <f>V101-(W102*O10)</f>
        <v>1.0449999999999964</v>
      </c>
      <c r="W103" s="2"/>
      <c r="X103" s="2"/>
      <c r="Y103" s="2"/>
      <c r="Z103" s="2"/>
      <c r="AA103" s="6"/>
      <c r="AB103" s="6"/>
      <c r="AC103" s="6"/>
      <c r="AD103" s="6"/>
      <c r="AE103" s="1"/>
    </row>
    <row r="104" spans="2:31" ht="14.25">
      <c r="B104" s="1"/>
      <c r="C104" s="6"/>
      <c r="D104" s="6">
        <f>IF(AND(D101&gt;0,D101&lt;=($U20/2)),D98,IF(D101&lt;=0,0,D98+$S13))</f>
        <v>8.2599999999999998</v>
      </c>
      <c r="E104" s="6">
        <f>IF(AND(E101&gt;0,E101&lt;=(($U20/2)+(O10/2))),E98,IF(E101&lt;=0,0,E98+$S13))</f>
        <v>8.5800000000000001</v>
      </c>
      <c r="F104" s="6">
        <f>IF(AND(F101&gt;0,F101&lt;=(($U20/2)+(O10/2))),F98,IF(F101&lt;=0,0,F98+$S13))</f>
        <v>8.8900000000000006</v>
      </c>
      <c r="G104" s="6">
        <f>IF(AND(G101&gt;0,G101&lt;=(($U20/2)+(O10/2))),G98,IF(G101&lt;=0,0,G98+$S13))</f>
        <v>9.2100000000000009</v>
      </c>
      <c r="H104" s="6">
        <f>IF(AND(H101&gt;0,H101&lt;=(($U20/2)+(O10/2))),H98,IF(H101&lt;=0,0,H98+$S13))</f>
        <v>9.5299999999999994</v>
      </c>
      <c r="I104" s="6">
        <f>IF(AND(I101&gt;0,I101&lt;=(($U20/2)+(O10/2))),I98,IF(I101&lt;=0,0,I98+$S13))</f>
        <v>5.8399999999999999</v>
      </c>
      <c r="J104" s="6">
        <f>IF(AND(J101&gt;0,J101&lt;=(($U20/2)+(O10/2))),J98,IF(J101&lt;=0,0,J98+$S13))</f>
        <v>6</v>
      </c>
      <c r="K104" s="6">
        <f>IF(AND(K101&gt;0,K101&lt;=(($U20/2)+(O10/2))),K98,IF(K101&lt;=0,0,K98+$S13))</f>
        <v>0</v>
      </c>
      <c r="L104" s="6">
        <f>IF(AND(L101&gt;0,L101&lt;=(($U20/2)+(O10/2))),L98,IF(L101&lt;=0,0,L98+$S13))</f>
        <v>0</v>
      </c>
      <c r="M104" s="6">
        <f>IF(AND(M101&gt;0,M101&lt;=(($U20/2)+(O10/2))),M98,IF(M101&lt;=0,0,M98+$S13))</f>
        <v>0</v>
      </c>
      <c r="N104" s="6">
        <f>IF(AND(N101&gt;0,N101&lt;=(($U20/2)+(O10))),N98,IF(N101&lt;=0,0,N98+$S13))</f>
        <v>0</v>
      </c>
      <c r="O104" s="6">
        <f>IF(AND(O101&gt;0,O101&lt;=(($U20/2)+(O10/2))),O98,IF(O101&lt;=0,0,O98+$S13))</f>
        <v>0</v>
      </c>
      <c r="P104" s="6">
        <f>IF(AND(P101&gt;0,P101&lt;=(($U20/2)+(O10/2))),P98,IF(P101&lt;=0,0,P98+$S13))</f>
        <v>0</v>
      </c>
      <c r="Q104" s="6">
        <f>IF(AND(Q101&gt;0,Q101&lt;=(($U20/2)+(O10))),Q98,IF(Q101&lt;=0,0,Q98+$S13))</f>
        <v>0</v>
      </c>
      <c r="R104" s="6">
        <f>IF(AND(R101&gt;0,R101&lt;=(($U20/2)+(O10/2))),R98,IF(R101&lt;=0,0,R98+$S13))</f>
        <v>0</v>
      </c>
      <c r="S104" s="1"/>
      <c r="T104" s="1"/>
      <c r="U104" s="6"/>
      <c r="V104" s="6">
        <f>(S36*2)+V103</f>
        <v>5.0449999999999964</v>
      </c>
      <c r="W104" s="2">
        <f>INT(V105)</f>
        <v>4</v>
      </c>
      <c r="X104" s="2"/>
      <c r="Y104" s="2"/>
      <c r="Z104" s="2"/>
      <c r="AA104" s="6"/>
      <c r="AB104" s="6"/>
      <c r="AC104" s="6"/>
      <c r="AD104" s="6"/>
      <c r="AE104" s="1"/>
    </row>
    <row r="105" spans="2:31" ht="14.25">
      <c r="B105" s="1"/>
      <c r="C105" s="6"/>
      <c r="D105" s="6">
        <f t="shared" si="19" ref="D105:R105">IF(AND(D102&gt;0,D102&lt;=($U20/2)),D99,IF(D102&lt;=0,0,D99+$S13))</f>
        <v>0</v>
      </c>
      <c r="E105" s="6">
        <f t="shared" si="19"/>
        <v>0</v>
      </c>
      <c r="F105" s="6">
        <f t="shared" si="19"/>
        <v>0</v>
      </c>
      <c r="G105" s="6">
        <f t="shared" si="19"/>
        <v>0</v>
      </c>
      <c r="H105" s="6">
        <f t="shared" si="19"/>
        <v>0</v>
      </c>
      <c r="I105" s="6">
        <f t="shared" si="19"/>
        <v>0</v>
      </c>
      <c r="J105" s="6">
        <f t="shared" si="19"/>
        <v>0</v>
      </c>
      <c r="K105" s="6">
        <f t="shared" si="19"/>
        <v>0</v>
      </c>
      <c r="L105" s="6">
        <f t="shared" si="19"/>
        <v>0</v>
      </c>
      <c r="M105" s="6">
        <f t="shared" si="19"/>
        <v>0</v>
      </c>
      <c r="N105" s="6">
        <f t="shared" si="19"/>
        <v>0</v>
      </c>
      <c r="O105" s="6">
        <f t="shared" si="19"/>
        <v>0</v>
      </c>
      <c r="P105" s="6">
        <f t="shared" si="19"/>
        <v>0</v>
      </c>
      <c r="Q105" s="6">
        <f t="shared" si="19"/>
        <v>0</v>
      </c>
      <c r="R105" s="6">
        <f t="shared" si="19"/>
        <v>0</v>
      </c>
      <c r="S105" s="1"/>
      <c r="T105" s="1"/>
      <c r="U105" s="6">
        <v>10</v>
      </c>
      <c r="V105" s="6">
        <f>V104/O10</f>
        <v>4.2573839662447224</v>
      </c>
      <c r="W105" s="2">
        <f>IF(V105&gt;(W104+0.02),ROUNDUP(V105,0),ROUNDDOWN(V105,0))</f>
        <v>5</v>
      </c>
      <c r="X105" s="2" t="s">
        <v>52</v>
      </c>
      <c r="Y105" s="2"/>
      <c r="Z105" s="2"/>
      <c r="AA105" s="6"/>
      <c r="AB105" s="6"/>
      <c r="AC105" s="6">
        <f>IF(U105&lt;P35,W105,IF(U105=P35,W105-((S36+V107-P34)/O10),0))</f>
        <v>5</v>
      </c>
      <c r="AD105" s="6"/>
      <c r="AE105" s="1"/>
    </row>
    <row r="106" spans="2:31" ht="14.25">
      <c r="B106" s="1"/>
      <c r="C106" s="6"/>
      <c r="D106" s="6"/>
      <c r="E106" s="6"/>
      <c r="F106" s="6"/>
      <c r="G106" s="6"/>
      <c r="H106" s="6"/>
      <c r="I106" s="6"/>
      <c r="J106" s="6"/>
      <c r="K106" s="6"/>
      <c r="L106" s="6"/>
      <c r="M106" s="6"/>
      <c r="N106" s="6"/>
      <c r="O106" s="6"/>
      <c r="P106" s="6"/>
      <c r="Q106" s="6"/>
      <c r="R106" s="6"/>
      <c r="S106" s="1"/>
      <c r="T106" s="1"/>
      <c r="U106" s="6"/>
      <c r="V106" s="6">
        <f>W105*O10</f>
        <v>5.9250000000000007</v>
      </c>
      <c r="W106" s="2"/>
      <c r="X106" s="2"/>
      <c r="Y106" s="2"/>
      <c r="Z106" s="2"/>
      <c r="AA106" s="6"/>
      <c r="AB106" s="6"/>
      <c r="AC106" s="6"/>
      <c r="AD106" s="6"/>
      <c r="AE106" s="1"/>
    </row>
    <row r="107" spans="2:31" ht="14.25">
      <c r="B107" s="1"/>
      <c r="C107" s="6"/>
      <c r="D107" s="6"/>
      <c r="E107" s="6"/>
      <c r="F107" s="6"/>
      <c r="G107" s="6"/>
      <c r="H107" s="6"/>
      <c r="I107" s="6"/>
      <c r="J107" s="6"/>
      <c r="K107" s="6"/>
      <c r="L107" s="6"/>
      <c r="M107" s="6"/>
      <c r="N107" s="6"/>
      <c r="O107" s="6"/>
      <c r="P107" s="6"/>
      <c r="Q107" s="6"/>
      <c r="R107" s="6"/>
      <c r="S107" s="1"/>
      <c r="T107" s="1"/>
      <c r="U107" s="6"/>
      <c r="V107" s="6">
        <f>V106-V104</f>
        <v>0.88000000000000433</v>
      </c>
      <c r="W107" s="2"/>
      <c r="X107" s="2"/>
      <c r="Y107" s="2"/>
      <c r="Z107" s="2"/>
      <c r="AA107" s="6" t="s">
        <v>54</v>
      </c>
      <c r="AB107" s="6">
        <f>SUM(AB102,AB95,AB88,AB80,AB74,AB67,AB57,AB49,AB44)</f>
        <v>6</v>
      </c>
      <c r="AC107" s="6">
        <f>SUM(AC105,AC98,AC92,AC84,AC76,AC70,AC62,AC53,AC46,AC42)</f>
        <v>42</v>
      </c>
      <c r="AD107" s="6"/>
      <c r="AE107" s="1"/>
    </row>
    <row r="108" spans="2:31" ht="14.25">
      <c r="B108" s="1"/>
      <c r="C108" s="6"/>
      <c r="D108" s="6"/>
      <c r="E108" s="6"/>
      <c r="F108" s="6"/>
      <c r="G108" s="6"/>
      <c r="H108" s="6"/>
      <c r="I108" s="6"/>
      <c r="J108" s="6"/>
      <c r="K108" s="6"/>
      <c r="L108" s="6"/>
      <c r="M108" s="6"/>
      <c r="N108" s="6"/>
      <c r="O108" s="6"/>
      <c r="P108" s="6"/>
      <c r="Q108" s="6"/>
      <c r="R108" s="6"/>
      <c r="S108" s="1"/>
      <c r="T108" s="1"/>
      <c r="U108" s="6"/>
      <c r="V108" s="6"/>
      <c r="W108" s="2"/>
      <c r="X108" s="2"/>
      <c r="Y108" s="2"/>
      <c r="Z108" s="2"/>
      <c r="AA108" s="6"/>
      <c r="AB108" s="6">
        <f>INT(AC107)</f>
        <v>42</v>
      </c>
      <c r="AC108" s="6">
        <f>ROUNDUP(AC107,0)</f>
        <v>42</v>
      </c>
      <c r="AD108" s="6"/>
      <c r="AE108" s="1"/>
    </row>
    <row r="109" spans="2:31" ht="14.25">
      <c r="B109" s="1"/>
      <c r="C109" s="6" t="s">
        <v>73</v>
      </c>
      <c r="D109" s="6">
        <f t="shared" si="20" ref="D109:Q109">IF($S6=0,D92,D104)</f>
        <v>8.2599999999999998</v>
      </c>
      <c r="E109" s="6">
        <f t="shared" si="20"/>
        <v>8.5800000000000001</v>
      </c>
      <c r="F109" s="6">
        <f t="shared" si="20"/>
        <v>8.8900000000000006</v>
      </c>
      <c r="G109" s="6">
        <f t="shared" si="20"/>
        <v>9.2100000000000009</v>
      </c>
      <c r="H109" s="6">
        <f t="shared" si="20"/>
        <v>9.5299999999999994</v>
      </c>
      <c r="I109" s="6">
        <f t="shared" si="20"/>
        <v>9.8399999999999999</v>
      </c>
      <c r="J109" s="6">
        <f t="shared" si="20"/>
        <v>10</v>
      </c>
      <c r="K109" s="6">
        <f>IF($S6=0,K92,K104)</f>
        <v>0</v>
      </c>
      <c r="L109" s="6">
        <f>IF($S6=0,L92,L104)</f>
        <v>0</v>
      </c>
      <c r="M109" s="6">
        <f t="shared" si="20"/>
        <v>0</v>
      </c>
      <c r="N109" s="6">
        <f t="shared" si="20"/>
        <v>0</v>
      </c>
      <c r="O109" s="6">
        <f t="shared" si="20"/>
        <v>0</v>
      </c>
      <c r="P109" s="6">
        <f t="shared" si="20"/>
        <v>0</v>
      </c>
      <c r="Q109" s="6">
        <f t="shared" si="20"/>
        <v>0</v>
      </c>
      <c r="R109" s="6">
        <f>IF($S6=0,R92,R104)</f>
        <v>0</v>
      </c>
      <c r="S109" s="1"/>
      <c r="T109" s="1"/>
      <c r="U109" s="6"/>
      <c r="V109" s="6"/>
      <c r="W109" s="2"/>
      <c r="X109" s="2"/>
      <c r="Y109" s="2"/>
      <c r="Z109" s="2"/>
      <c r="AA109" s="6"/>
      <c r="AB109" s="6">
        <f>(AC107-AB108)*O10</f>
        <v>0</v>
      </c>
      <c r="AC109" s="6"/>
      <c r="AD109" s="6"/>
      <c r="AE109" s="1"/>
    </row>
    <row r="110" spans="2:30" ht="14.25">
      <c r="B110" s="1"/>
      <c r="C110" s="6"/>
      <c r="D110" s="6">
        <f t="shared" si="21" ref="D110:P110">IF($S6=0,D94,D105)</f>
        <v>0</v>
      </c>
      <c r="E110" s="6">
        <f t="shared" si="21"/>
        <v>0</v>
      </c>
      <c r="F110" s="6">
        <f t="shared" si="21"/>
        <v>0</v>
      </c>
      <c r="G110" s="6">
        <f t="shared" si="21"/>
        <v>0</v>
      </c>
      <c r="H110" s="6">
        <f t="shared" si="21"/>
        <v>0</v>
      </c>
      <c r="I110" s="6">
        <f t="shared" si="21"/>
        <v>0</v>
      </c>
      <c r="J110" s="6">
        <f t="shared" si="21"/>
        <v>0</v>
      </c>
      <c r="K110" s="6">
        <f t="shared" si="21"/>
        <v>0</v>
      </c>
      <c r="L110" s="6">
        <f t="shared" si="21"/>
        <v>0</v>
      </c>
      <c r="M110" s="6">
        <f t="shared" si="21"/>
        <v>0</v>
      </c>
      <c r="N110" s="6">
        <f t="shared" si="21"/>
        <v>0</v>
      </c>
      <c r="O110" s="6">
        <f t="shared" si="21"/>
        <v>0</v>
      </c>
      <c r="P110" s="6">
        <f t="shared" si="21"/>
        <v>0</v>
      </c>
      <c r="Q110" s="6">
        <f>IF($S6=0,Q94,Q105)</f>
        <v>0</v>
      </c>
      <c r="R110" s="6">
        <f>IF($S6=0,R94,R105)</f>
        <v>0</v>
      </c>
      <c r="S110" s="1"/>
      <c r="T110" s="1"/>
      <c r="U110" s="6"/>
      <c r="V110" s="6"/>
      <c r="W110" s="2"/>
      <c r="X110" s="2"/>
      <c r="Y110" s="2"/>
      <c r="Z110" s="2"/>
      <c r="AA110" s="6"/>
      <c r="AB110" s="6"/>
      <c r="AC110" s="6"/>
      <c r="AD110" s="6"/>
    </row>
    <row r="111" spans="2:20" ht="14.25">
      <c r="B111" s="1"/>
      <c r="C111" s="6"/>
      <c r="D111" s="6"/>
      <c r="E111" s="6"/>
      <c r="F111" s="6"/>
      <c r="G111" s="6"/>
      <c r="H111" s="6"/>
      <c r="I111" s="6"/>
      <c r="J111" s="6"/>
      <c r="K111" s="6"/>
      <c r="L111" s="6"/>
      <c r="M111" s="6"/>
      <c r="N111" s="6"/>
      <c r="O111" s="6"/>
      <c r="P111" s="6"/>
      <c r="Q111" s="6"/>
      <c r="R111" s="6"/>
      <c r="S111" s="1"/>
      <c r="T111" s="1"/>
    </row>
    <row r="112" spans="2:20" ht="14.25">
      <c r="B112" s="1"/>
      <c r="C112" s="6"/>
      <c r="D112" s="6"/>
      <c r="E112" s="6"/>
      <c r="F112" s="6"/>
      <c r="G112" s="6"/>
      <c r="H112" s="6"/>
      <c r="I112" s="6"/>
      <c r="J112" s="6"/>
      <c r="K112" s="6"/>
      <c r="L112" s="6"/>
      <c r="M112" s="6"/>
      <c r="N112" s="6"/>
      <c r="O112" s="6"/>
      <c r="P112" s="6"/>
      <c r="Q112" s="6"/>
      <c r="R112" s="6"/>
      <c r="S112" s="1"/>
      <c r="T112" s="1"/>
    </row>
    <row r="113" spans="2:20" ht="14.25">
      <c r="B113" s="1"/>
      <c r="C113" s="6" t="s">
        <v>74</v>
      </c>
      <c r="D113" s="6">
        <f t="shared" si="22" ref="D113:R113">IF(AND($S14=2,D101&gt;=$S33,D101&lt;($S33+$U20)),D92-$S13,IF(D92=0,0,D92))</f>
        <v>8.2599999999999998</v>
      </c>
      <c r="E113" s="6">
        <f t="shared" si="22"/>
        <v>8.5800000000000001</v>
      </c>
      <c r="F113" s="6">
        <f t="shared" si="22"/>
        <v>8.8900000000000006</v>
      </c>
      <c r="G113" s="6">
        <f t="shared" si="22"/>
        <v>9.2100000000000009</v>
      </c>
      <c r="H113" s="6">
        <f t="shared" si="22"/>
        <v>9.5299999999999994</v>
      </c>
      <c r="I113" s="6">
        <f t="shared" si="22"/>
        <v>9.8399999999999999</v>
      </c>
      <c r="J113" s="6">
        <f t="shared" si="22"/>
        <v>10</v>
      </c>
      <c r="K113" s="6">
        <f t="shared" si="22"/>
        <v>0</v>
      </c>
      <c r="L113" s="6">
        <f t="shared" si="22"/>
        <v>0</v>
      </c>
      <c r="M113" s="6">
        <f t="shared" si="22"/>
        <v>0</v>
      </c>
      <c r="N113" s="6">
        <f t="shared" si="22"/>
        <v>0</v>
      </c>
      <c r="O113" s="6">
        <f t="shared" si="22"/>
        <v>0</v>
      </c>
      <c r="P113" s="6">
        <f t="shared" si="22"/>
        <v>0</v>
      </c>
      <c r="Q113" s="6">
        <f t="shared" si="22"/>
        <v>0</v>
      </c>
      <c r="R113" s="6">
        <f t="shared" si="22"/>
        <v>0</v>
      </c>
      <c r="S113" s="1"/>
      <c r="T113" s="1"/>
    </row>
    <row r="114" spans="2:20" ht="14.25">
      <c r="B114" s="1"/>
      <c r="C114" s="6"/>
      <c r="D114" s="6">
        <f t="shared" si="23" ref="D114:R114">IF(AND($S14=2,D101&gt;=$S33,D101&lt;($S33+$U20)),D92,D93)</f>
        <v>2</v>
      </c>
      <c r="E114" s="6">
        <f t="shared" si="23"/>
        <v>2</v>
      </c>
      <c r="F114" s="6">
        <f t="shared" si="23"/>
        <v>2</v>
      </c>
      <c r="G114" s="6">
        <f t="shared" si="23"/>
        <v>2</v>
      </c>
      <c r="H114" s="6">
        <f t="shared" si="23"/>
        <v>2</v>
      </c>
      <c r="I114" s="6">
        <f t="shared" si="23"/>
        <v>2</v>
      </c>
      <c r="J114" s="6">
        <f t="shared" si="23"/>
        <v>1</v>
      </c>
      <c r="K114" s="6">
        <f t="shared" si="23"/>
        <v>0</v>
      </c>
      <c r="L114" s="6">
        <f t="shared" si="23"/>
        <v>0</v>
      </c>
      <c r="M114" s="6">
        <f t="shared" si="23"/>
        <v>0</v>
      </c>
      <c r="N114" s="6">
        <f>IF(AND($S14=2,N101&gt;=$S33,N101&lt;($S33+$U20)),N92,N93)</f>
        <v>0</v>
      </c>
      <c r="O114" s="6">
        <f t="shared" si="23"/>
        <v>0</v>
      </c>
      <c r="P114" s="6">
        <f t="shared" si="23"/>
        <v>0</v>
      </c>
      <c r="Q114" s="6">
        <f t="shared" si="23"/>
        <v>0</v>
      </c>
      <c r="R114" s="6">
        <f t="shared" si="23"/>
        <v>0</v>
      </c>
      <c r="S114" s="1"/>
      <c r="T114" s="1"/>
    </row>
    <row r="115" spans="2:20" ht="14.25">
      <c r="B115" s="1"/>
      <c r="C115" s="6"/>
      <c r="D115" s="6">
        <f t="shared" si="24" ref="D115:R115">IF(AND($S14=2,D102&gt;=$S33,D102&lt;($S33+$U20)),D94-$S13,IF(D94=0,0,D94))</f>
        <v>0</v>
      </c>
      <c r="E115" s="6">
        <f t="shared" si="24"/>
        <v>0</v>
      </c>
      <c r="F115" s="6">
        <f t="shared" si="24"/>
        <v>0</v>
      </c>
      <c r="G115" s="6">
        <f t="shared" si="24"/>
        <v>0</v>
      </c>
      <c r="H115" s="6">
        <f t="shared" si="24"/>
        <v>0</v>
      </c>
      <c r="I115" s="6">
        <f t="shared" si="24"/>
        <v>0</v>
      </c>
      <c r="J115" s="6">
        <f t="shared" si="24"/>
        <v>0</v>
      </c>
      <c r="K115" s="6">
        <f t="shared" si="24"/>
        <v>0</v>
      </c>
      <c r="L115" s="6">
        <f t="shared" si="24"/>
        <v>0</v>
      </c>
      <c r="M115" s="6">
        <f t="shared" si="24"/>
        <v>0</v>
      </c>
      <c r="N115" s="6">
        <f t="shared" si="24"/>
        <v>0</v>
      </c>
      <c r="O115" s="6">
        <f t="shared" si="24"/>
        <v>0</v>
      </c>
      <c r="P115" s="6">
        <f t="shared" si="24"/>
        <v>0</v>
      </c>
      <c r="Q115" s="6">
        <f t="shared" si="24"/>
        <v>0</v>
      </c>
      <c r="R115" s="6">
        <f t="shared" si="24"/>
        <v>0</v>
      </c>
      <c r="S115" s="1"/>
      <c r="T115" s="1"/>
    </row>
    <row r="116" spans="2:20" ht="14.25">
      <c r="B116" s="1"/>
      <c r="C116" s="6"/>
      <c r="D116" s="6">
        <f t="shared" si="25" ref="D116:R116">IF(AND($S14=2,D102&gt;=$S33,D102&lt;($S33+$U20)),D94,D95)</f>
        <v>0</v>
      </c>
      <c r="E116" s="6">
        <f t="shared" si="25"/>
        <v>0</v>
      </c>
      <c r="F116" s="6">
        <f t="shared" si="25"/>
        <v>0</v>
      </c>
      <c r="G116" s="6">
        <f t="shared" si="25"/>
        <v>0</v>
      </c>
      <c r="H116" s="6">
        <f t="shared" si="25"/>
        <v>0</v>
      </c>
      <c r="I116" s="6">
        <f t="shared" si="25"/>
        <v>0</v>
      </c>
      <c r="J116" s="6">
        <f t="shared" si="25"/>
        <v>0</v>
      </c>
      <c r="K116" s="6">
        <f t="shared" si="25"/>
        <v>0</v>
      </c>
      <c r="L116" s="6">
        <f t="shared" si="25"/>
        <v>0</v>
      </c>
      <c r="M116" s="6">
        <f t="shared" si="25"/>
        <v>0</v>
      </c>
      <c r="N116" s="6">
        <f t="shared" si="25"/>
        <v>0</v>
      </c>
      <c r="O116" s="6">
        <f t="shared" si="25"/>
        <v>0</v>
      </c>
      <c r="P116" s="6">
        <f t="shared" si="25"/>
        <v>0</v>
      </c>
      <c r="Q116" s="6">
        <f t="shared" si="25"/>
        <v>0</v>
      </c>
      <c r="R116" s="6">
        <f t="shared" si="25"/>
        <v>0</v>
      </c>
      <c r="S116" s="1"/>
      <c r="T116" s="1"/>
    </row>
    <row r="117" spans="2:20" ht="14.25">
      <c r="B117" s="1"/>
      <c r="C117" s="6"/>
      <c r="D117" s="6"/>
      <c r="E117" s="6"/>
      <c r="F117" s="6"/>
      <c r="G117" s="6"/>
      <c r="H117" s="6"/>
      <c r="I117" s="6"/>
      <c r="J117" s="6"/>
      <c r="K117" s="6"/>
      <c r="L117" s="6"/>
      <c r="M117" s="6"/>
      <c r="N117" s="6"/>
      <c r="O117" s="6"/>
      <c r="P117" s="6"/>
      <c r="Q117" s="6"/>
      <c r="R117" s="6"/>
      <c r="S117" s="1"/>
      <c r="T117" s="1"/>
    </row>
    <row r="118" spans="2:20" ht="14.25">
      <c r="B118" s="1"/>
      <c r="C118" s="6"/>
      <c r="D118" s="6"/>
      <c r="E118" s="6"/>
      <c r="F118" s="6"/>
      <c r="G118" s="6"/>
      <c r="H118" s="6"/>
      <c r="I118" s="6"/>
      <c r="J118" s="6"/>
      <c r="K118" s="6"/>
      <c r="L118" s="6"/>
      <c r="M118" s="6"/>
      <c r="N118" s="6"/>
      <c r="O118" s="6"/>
      <c r="P118" s="6"/>
      <c r="Q118" s="6"/>
      <c r="R118" s="6"/>
      <c r="S118" s="1"/>
      <c r="T118" s="1"/>
    </row>
    <row r="119" spans="2:20" ht="14.25">
      <c r="B119" s="1"/>
      <c r="C119" s="6"/>
      <c r="D119" s="6">
        <f t="shared" si="26" ref="D119:Q119">IF($S14=1,D109,D113)</f>
        <v>8.2599999999999998</v>
      </c>
      <c r="E119" s="6">
        <f t="shared" si="26"/>
        <v>8.5800000000000001</v>
      </c>
      <c r="F119" s="6">
        <f t="shared" si="26"/>
        <v>8.8900000000000006</v>
      </c>
      <c r="G119" s="6">
        <f t="shared" si="26"/>
        <v>9.2100000000000009</v>
      </c>
      <c r="H119" s="6">
        <f t="shared" si="26"/>
        <v>9.5299999999999994</v>
      </c>
      <c r="I119" s="6">
        <f t="shared" si="26"/>
        <v>9.8399999999999999</v>
      </c>
      <c r="J119" s="6">
        <f t="shared" si="26"/>
        <v>10</v>
      </c>
      <c r="K119" s="6">
        <f>IF($S14=1,K109,K113)</f>
        <v>0</v>
      </c>
      <c r="L119" s="6">
        <f>IF($S14=1,L109,L113)</f>
        <v>0</v>
      </c>
      <c r="M119" s="6">
        <f t="shared" si="26"/>
        <v>0</v>
      </c>
      <c r="N119" s="6">
        <f t="shared" si="26"/>
        <v>0</v>
      </c>
      <c r="O119" s="6">
        <f t="shared" si="26"/>
        <v>0</v>
      </c>
      <c r="P119" s="6">
        <f t="shared" si="26"/>
        <v>0</v>
      </c>
      <c r="Q119" s="6">
        <f t="shared" si="26"/>
        <v>0</v>
      </c>
      <c r="R119" s="6">
        <f>IF($S14=1,R109,R113)</f>
        <v>0</v>
      </c>
      <c r="S119" s="1"/>
      <c r="T119" s="1"/>
    </row>
    <row r="120" spans="2:20" ht="14.25">
      <c r="B120" s="1"/>
      <c r="C120" s="6"/>
      <c r="D120" s="6">
        <f t="shared" si="27" ref="D120:Q120">IF($S14=1,D93,D114)</f>
        <v>2</v>
      </c>
      <c r="E120" s="6">
        <f t="shared" si="27"/>
        <v>2</v>
      </c>
      <c r="F120" s="6">
        <f t="shared" si="27"/>
        <v>2</v>
      </c>
      <c r="G120" s="6">
        <f t="shared" si="27"/>
        <v>2</v>
      </c>
      <c r="H120" s="6">
        <f t="shared" si="27"/>
        <v>2</v>
      </c>
      <c r="I120" s="6">
        <f t="shared" si="27"/>
        <v>2</v>
      </c>
      <c r="J120" s="6">
        <f t="shared" si="27"/>
        <v>1</v>
      </c>
      <c r="K120" s="6">
        <f t="shared" si="27"/>
        <v>0</v>
      </c>
      <c r="L120" s="6">
        <f t="shared" si="27"/>
        <v>0</v>
      </c>
      <c r="M120" s="6">
        <f t="shared" si="27"/>
        <v>0</v>
      </c>
      <c r="N120" s="6">
        <f>IF($S14=1,N93,N114)</f>
        <v>0</v>
      </c>
      <c r="O120" s="6">
        <f t="shared" si="27"/>
        <v>0</v>
      </c>
      <c r="P120" s="6">
        <f t="shared" si="27"/>
        <v>0</v>
      </c>
      <c r="Q120" s="6">
        <f t="shared" si="27"/>
        <v>0</v>
      </c>
      <c r="R120" s="6">
        <f>IF($S14=1,R93,R114)</f>
        <v>0</v>
      </c>
      <c r="S120" s="1"/>
      <c r="T120" s="1"/>
    </row>
    <row r="121" spans="2:20" ht="14.25">
      <c r="B121" s="1"/>
      <c r="C121" s="6"/>
      <c r="D121" s="6">
        <f t="shared" si="28" ref="D121:Q121">IF($S14=1,D110,D115)</f>
        <v>0</v>
      </c>
      <c r="E121" s="6">
        <f t="shared" si="28"/>
        <v>0</v>
      </c>
      <c r="F121" s="6">
        <f t="shared" si="28"/>
        <v>0</v>
      </c>
      <c r="G121" s="6">
        <f t="shared" si="28"/>
        <v>0</v>
      </c>
      <c r="H121" s="6">
        <f t="shared" si="28"/>
        <v>0</v>
      </c>
      <c r="I121" s="6">
        <f t="shared" si="28"/>
        <v>0</v>
      </c>
      <c r="J121" s="6">
        <f t="shared" si="28"/>
        <v>0</v>
      </c>
      <c r="K121" s="6">
        <f t="shared" si="28"/>
        <v>0</v>
      </c>
      <c r="L121" s="6">
        <f t="shared" si="28"/>
        <v>0</v>
      </c>
      <c r="M121" s="6">
        <f t="shared" si="28"/>
        <v>0</v>
      </c>
      <c r="N121" s="6">
        <f t="shared" si="28"/>
        <v>0</v>
      </c>
      <c r="O121" s="6">
        <f t="shared" si="28"/>
        <v>0</v>
      </c>
      <c r="P121" s="6">
        <f t="shared" si="28"/>
        <v>0</v>
      </c>
      <c r="Q121" s="6">
        <f t="shared" si="28"/>
        <v>0</v>
      </c>
      <c r="R121" s="6">
        <f>IF($S14=1,R110,R115)</f>
        <v>0</v>
      </c>
      <c r="S121" s="1"/>
      <c r="T121" s="1"/>
    </row>
    <row r="122" spans="2:20" ht="14.25">
      <c r="B122" s="1"/>
      <c r="C122" s="6"/>
      <c r="D122" s="6">
        <f t="shared" si="29" ref="D122:Q122">IF($S14=1,D95,D116)</f>
        <v>0</v>
      </c>
      <c r="E122" s="6">
        <f t="shared" si="29"/>
        <v>0</v>
      </c>
      <c r="F122" s="6">
        <f t="shared" si="29"/>
        <v>0</v>
      </c>
      <c r="G122" s="6">
        <f t="shared" si="29"/>
        <v>0</v>
      </c>
      <c r="H122" s="6">
        <f t="shared" si="29"/>
        <v>0</v>
      </c>
      <c r="I122" s="6">
        <f t="shared" si="29"/>
        <v>0</v>
      </c>
      <c r="J122" s="6">
        <f t="shared" si="29"/>
        <v>0</v>
      </c>
      <c r="K122" s="6">
        <f t="shared" si="29"/>
        <v>0</v>
      </c>
      <c r="L122" s="6">
        <f t="shared" si="29"/>
        <v>0</v>
      </c>
      <c r="M122" s="6">
        <f t="shared" si="29"/>
        <v>0</v>
      </c>
      <c r="N122" s="6">
        <f t="shared" si="29"/>
        <v>0</v>
      </c>
      <c r="O122" s="6">
        <f t="shared" si="29"/>
        <v>0</v>
      </c>
      <c r="P122" s="6">
        <f t="shared" si="29"/>
        <v>0</v>
      </c>
      <c r="Q122" s="6">
        <f t="shared" si="29"/>
        <v>0</v>
      </c>
      <c r="R122" s="6">
        <f>IF($S14=1,R95,R116)</f>
        <v>0</v>
      </c>
      <c r="S122" s="1"/>
      <c r="T122" s="1"/>
    </row>
    <row r="123" spans="2:20" ht="14.25">
      <c r="B123" s="1"/>
      <c r="C123" s="6"/>
      <c r="D123" s="6"/>
      <c r="E123" s="6"/>
      <c r="F123" s="6"/>
      <c r="G123" s="6"/>
      <c r="H123" s="6"/>
      <c r="I123" s="6"/>
      <c r="J123" s="6"/>
      <c r="K123" s="6"/>
      <c r="L123" s="6"/>
      <c r="M123" s="6"/>
      <c r="N123" s="6"/>
      <c r="O123" s="6"/>
      <c r="P123" s="6"/>
      <c r="Q123" s="6"/>
      <c r="R123" s="6"/>
      <c r="S123" s="1"/>
      <c r="T123" s="1"/>
    </row>
    <row r="124" spans="2:20" ht="14.25">
      <c r="B124" s="1"/>
      <c r="C124" s="6"/>
      <c r="D124" s="6"/>
      <c r="E124" s="6"/>
      <c r="F124" s="6"/>
      <c r="G124" s="6"/>
      <c r="H124" s="6"/>
      <c r="I124" s="6"/>
      <c r="J124" s="6"/>
      <c r="K124" s="6"/>
      <c r="L124" s="6"/>
      <c r="M124" s="6"/>
      <c r="N124" s="6"/>
      <c r="O124" s="6"/>
      <c r="P124" s="6"/>
      <c r="Q124" s="6"/>
      <c r="R124" s="6"/>
      <c r="S124" s="1"/>
      <c r="T124" s="1"/>
    </row>
    <row r="125" spans="2:20" ht="14.25">
      <c r="B125" s="1"/>
      <c r="C125" s="6" t="s">
        <v>75</v>
      </c>
      <c r="D125" s="6">
        <f t="shared" si="30" ref="D125:Q125">IF($S6=0,D92,D119)</f>
        <v>8.2599999999999998</v>
      </c>
      <c r="E125" s="6">
        <f t="shared" si="30"/>
        <v>8.5800000000000001</v>
      </c>
      <c r="F125" s="6">
        <f t="shared" si="30"/>
        <v>8.8900000000000006</v>
      </c>
      <c r="G125" s="6">
        <f t="shared" si="30"/>
        <v>9.2100000000000009</v>
      </c>
      <c r="H125" s="6">
        <f t="shared" si="30"/>
        <v>9.5299999999999994</v>
      </c>
      <c r="I125" s="6">
        <f t="shared" si="30"/>
        <v>9.8399999999999999</v>
      </c>
      <c r="J125" s="6">
        <f t="shared" si="30"/>
        <v>10</v>
      </c>
      <c r="K125" s="6">
        <f>IF($S6=0,K92,K119)</f>
        <v>0</v>
      </c>
      <c r="L125" s="6">
        <f t="shared" si="30"/>
        <v>0</v>
      </c>
      <c r="M125" s="6">
        <f t="shared" si="30"/>
        <v>0</v>
      </c>
      <c r="N125" s="6">
        <f t="shared" si="30"/>
        <v>0</v>
      </c>
      <c r="O125" s="6">
        <f t="shared" si="30"/>
        <v>0</v>
      </c>
      <c r="P125" s="6">
        <f t="shared" si="30"/>
        <v>0</v>
      </c>
      <c r="Q125" s="6">
        <f t="shared" si="30"/>
        <v>0</v>
      </c>
      <c r="R125" s="6">
        <f>IF($S6=0,R92,R119)</f>
        <v>0</v>
      </c>
      <c r="S125" s="1"/>
      <c r="T125" s="1"/>
    </row>
    <row r="126" spans="2:20" ht="14.25">
      <c r="B126" s="1"/>
      <c r="C126" s="6"/>
      <c r="D126" s="6">
        <f t="shared" si="31" ref="D126:Q126">IF($S6=0,D93,D120)</f>
        <v>2</v>
      </c>
      <c r="E126" s="6">
        <f t="shared" si="31"/>
        <v>2</v>
      </c>
      <c r="F126" s="6">
        <f t="shared" si="31"/>
        <v>2</v>
      </c>
      <c r="G126" s="6">
        <f t="shared" si="31"/>
        <v>2</v>
      </c>
      <c r="H126" s="6">
        <f t="shared" si="31"/>
        <v>2</v>
      </c>
      <c r="I126" s="6">
        <f t="shared" si="31"/>
        <v>2</v>
      </c>
      <c r="J126" s="6">
        <f t="shared" si="31"/>
        <v>1</v>
      </c>
      <c r="K126" s="6">
        <f t="shared" si="31"/>
        <v>0</v>
      </c>
      <c r="L126" s="6">
        <f t="shared" si="31"/>
        <v>0</v>
      </c>
      <c r="M126" s="6">
        <f t="shared" si="31"/>
        <v>0</v>
      </c>
      <c r="N126" s="6">
        <f>IF($S6=0,N93,N120)</f>
        <v>0</v>
      </c>
      <c r="O126" s="6">
        <f t="shared" si="31"/>
        <v>0</v>
      </c>
      <c r="P126" s="6">
        <f t="shared" si="31"/>
        <v>0</v>
      </c>
      <c r="Q126" s="6">
        <f t="shared" si="31"/>
        <v>0</v>
      </c>
      <c r="R126" s="6">
        <f>IF($S6=0,R93,R120)</f>
        <v>0</v>
      </c>
      <c r="S126" s="1"/>
      <c r="T126" s="1"/>
    </row>
    <row r="127" spans="2:20" ht="14.25">
      <c r="B127" s="1"/>
      <c r="C127" s="6"/>
      <c r="D127" s="6">
        <f t="shared" si="32" ref="D127:Q127">IF($S6=0,D94,D121)</f>
        <v>0</v>
      </c>
      <c r="E127" s="6">
        <f t="shared" si="32"/>
        <v>0</v>
      </c>
      <c r="F127" s="6">
        <f t="shared" si="32"/>
        <v>0</v>
      </c>
      <c r="G127" s="6">
        <f t="shared" si="32"/>
        <v>0</v>
      </c>
      <c r="H127" s="6">
        <f t="shared" si="32"/>
        <v>0</v>
      </c>
      <c r="I127" s="6">
        <f t="shared" si="32"/>
        <v>0</v>
      </c>
      <c r="J127" s="6">
        <f t="shared" si="32"/>
        <v>0</v>
      </c>
      <c r="K127" s="6">
        <f t="shared" si="32"/>
        <v>0</v>
      </c>
      <c r="L127" s="6">
        <f t="shared" si="32"/>
        <v>0</v>
      </c>
      <c r="M127" s="6">
        <f t="shared" si="32"/>
        <v>0</v>
      </c>
      <c r="N127" s="6">
        <f t="shared" si="32"/>
        <v>0</v>
      </c>
      <c r="O127" s="6">
        <f t="shared" si="32"/>
        <v>0</v>
      </c>
      <c r="P127" s="6">
        <f t="shared" si="32"/>
        <v>0</v>
      </c>
      <c r="Q127" s="6">
        <f t="shared" si="32"/>
        <v>0</v>
      </c>
      <c r="R127" s="6">
        <f>IF($S6=0,R94,R121)</f>
        <v>0</v>
      </c>
      <c r="S127" s="1"/>
      <c r="T127" s="1"/>
    </row>
    <row r="128" spans="2:20" ht="14.25">
      <c r="B128" s="1"/>
      <c r="C128" s="6"/>
      <c r="D128" s="6">
        <f t="shared" si="33" ref="D128:Q128">IF($S6=0,D95,D122)</f>
        <v>0</v>
      </c>
      <c r="E128" s="6">
        <f t="shared" si="33"/>
        <v>0</v>
      </c>
      <c r="F128" s="6">
        <f t="shared" si="33"/>
        <v>0</v>
      </c>
      <c r="G128" s="6">
        <f t="shared" si="33"/>
        <v>0</v>
      </c>
      <c r="H128" s="6">
        <f t="shared" si="33"/>
        <v>0</v>
      </c>
      <c r="I128" s="6">
        <f t="shared" si="33"/>
        <v>0</v>
      </c>
      <c r="J128" s="6">
        <f t="shared" si="33"/>
        <v>0</v>
      </c>
      <c r="K128" s="6">
        <f t="shared" si="33"/>
        <v>0</v>
      </c>
      <c r="L128" s="6">
        <f t="shared" si="33"/>
        <v>0</v>
      </c>
      <c r="M128" s="6">
        <f t="shared" si="33"/>
        <v>0</v>
      </c>
      <c r="N128" s="6">
        <f t="shared" si="33"/>
        <v>0</v>
      </c>
      <c r="O128" s="6">
        <f t="shared" si="33"/>
        <v>0</v>
      </c>
      <c r="P128" s="6">
        <f t="shared" si="33"/>
        <v>0</v>
      </c>
      <c r="Q128" s="6">
        <f t="shared" si="33"/>
        <v>0</v>
      </c>
      <c r="R128" s="6">
        <f>IF($S6=0,R95,R122)</f>
        <v>0</v>
      </c>
      <c r="S128" s="1"/>
      <c r="T128" s="1"/>
    </row>
    <row r="129" spans="2:20" ht="14.25">
      <c r="B129" s="1"/>
      <c r="C129" s="1"/>
      <c r="D129" s="1"/>
      <c r="E129" s="1"/>
      <c r="F129" s="1"/>
      <c r="G129" s="1"/>
      <c r="H129" s="1"/>
      <c r="I129" s="1"/>
      <c r="J129" s="1"/>
      <c r="K129" s="1"/>
      <c r="L129" s="1"/>
      <c r="M129" s="1"/>
      <c r="N129" s="1"/>
      <c r="O129" s="1"/>
      <c r="P129" s="1"/>
      <c r="Q129" s="1"/>
      <c r="R129" s="1"/>
      <c r="S129" s="1"/>
      <c r="T129" s="1"/>
    </row>
    <row r="130" spans="2:20" ht="14.25">
      <c r="B130" s="1"/>
      <c r="C130" s="1"/>
      <c r="D130" s="1"/>
      <c r="E130" s="1"/>
      <c r="F130" s="1"/>
      <c r="G130" s="1"/>
      <c r="H130" s="1"/>
      <c r="I130" s="1"/>
      <c r="J130" s="1"/>
      <c r="K130" s="1"/>
      <c r="L130" s="1"/>
      <c r="M130" s="1"/>
      <c r="N130" s="1"/>
      <c r="O130" s="1"/>
      <c r="P130" s="1"/>
      <c r="Q130" s="1"/>
      <c r="R130" s="1"/>
      <c r="S130" s="1"/>
      <c r="T130" s="1"/>
    </row>
  </sheetData>
  <sheetProtection password="9AF5" sheet="1" objects="1" scenarios="1" selectLockedCells="1"/>
  <mergeCells count="78">
    <mergeCell ref="B32:V32"/>
    <mergeCell ref="B27:U31"/>
    <mergeCell ref="V5:V31"/>
    <mergeCell ref="L13:N13"/>
    <mergeCell ref="S20:T20"/>
    <mergeCell ref="B20:C20"/>
    <mergeCell ref="T23:U23"/>
    <mergeCell ref="T24:U24"/>
    <mergeCell ref="T25:U25"/>
    <mergeCell ref="L9:N9"/>
    <mergeCell ref="O16:R17"/>
    <mergeCell ref="P12:R12"/>
    <mergeCell ref="P11:R11"/>
    <mergeCell ref="L12:N12"/>
    <mergeCell ref="P10:R10"/>
    <mergeCell ref="L17:N17"/>
    <mergeCell ref="L15:N15"/>
    <mergeCell ref="B21:C21"/>
    <mergeCell ref="B22:C22"/>
    <mergeCell ref="L8:N8"/>
    <mergeCell ref="T6:U6"/>
    <mergeCell ref="L14:N14"/>
    <mergeCell ref="P14:R14"/>
    <mergeCell ref="B19:C19"/>
    <mergeCell ref="P13:R13"/>
    <mergeCell ref="L10:N10"/>
    <mergeCell ref="K18:N18"/>
    <mergeCell ref="P9:R9"/>
    <mergeCell ref="L16:N16"/>
    <mergeCell ref="P8:R8"/>
    <mergeCell ref="L11:N11"/>
    <mergeCell ref="L6:N6"/>
    <mergeCell ref="AB5:AD5"/>
    <mergeCell ref="T21:U21"/>
    <mergeCell ref="T22:U22"/>
    <mergeCell ref="T14:U14"/>
    <mergeCell ref="Y20:AA20"/>
    <mergeCell ref="AB20:AD20"/>
    <mergeCell ref="T10:U10"/>
    <mergeCell ref="T11:U11"/>
    <mergeCell ref="T12:U12"/>
    <mergeCell ref="T13:U13"/>
    <mergeCell ref="T15:U15"/>
    <mergeCell ref="T8:U8"/>
    <mergeCell ref="S19:T19"/>
    <mergeCell ref="Y5:AA5"/>
    <mergeCell ref="L24:O24"/>
    <mergeCell ref="L25:O25"/>
    <mergeCell ref="L26:O26"/>
    <mergeCell ref="K3:L3"/>
    <mergeCell ref="K4:M4"/>
    <mergeCell ref="L7:N7"/>
    <mergeCell ref="K5:N5"/>
    <mergeCell ref="N3:V4"/>
    <mergeCell ref="S5:U5"/>
    <mergeCell ref="T7:U7"/>
    <mergeCell ref="T9:U9"/>
    <mergeCell ref="O18:R18"/>
    <mergeCell ref="O15:R15"/>
    <mergeCell ref="O5:R5"/>
    <mergeCell ref="P6:R6"/>
    <mergeCell ref="P7:R7"/>
    <mergeCell ref="J39:K39"/>
    <mergeCell ref="Z24:AA24"/>
    <mergeCell ref="K1:O2"/>
    <mergeCell ref="T26:U26"/>
    <mergeCell ref="B25:D25"/>
    <mergeCell ref="B26:D26"/>
    <mergeCell ref="Q23:Q26"/>
    <mergeCell ref="R23:S23"/>
    <mergeCell ref="R24:S24"/>
    <mergeCell ref="R25:S25"/>
    <mergeCell ref="R26:S26"/>
    <mergeCell ref="E23:I23"/>
    <mergeCell ref="E24:I24"/>
    <mergeCell ref="E25:I25"/>
    <mergeCell ref="E26:I26"/>
    <mergeCell ref="L23:O23"/>
  </mergeCells>
  <pageMargins left="1" right="1" top="1" bottom="1" header="0.5" footer="0.5"/>
  <pageSetup orientation="landscape" paperSize="66" r:id="rId4"/>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fc43c4-229c-42d6-9b87-61f0a7f0e4d9}">
  <sheetPr codeName="Sheet2"/>
  <dimension ref="A1:Z87"/>
  <sheetViews>
    <sheetView showGridLines="0" showRowColHeaders="0" zoomScale="85" zoomScaleNormal="85" workbookViewId="0" topLeftCell="A1">
      <selection pane="topLeft" activeCell="P17" sqref="P17"/>
    </sheetView>
  </sheetViews>
  <sheetFormatPr defaultColWidth="9" defaultRowHeight="14.25"/>
  <cols>
    <col min="2" max="2" width="10.625" customWidth="1"/>
    <col min="3" max="3" width="11.125" customWidth="1"/>
    <col min="9" max="9" width="10" customWidth="1"/>
    <col min="10" max="11" width="9" customWidth="1"/>
    <col min="12" max="12" width="8.375" customWidth="1"/>
    <col min="15" max="15" width="10.25" customWidth="1"/>
    <col min="17" max="17" width="10.375" customWidth="1"/>
    <col min="18" max="19" width="10" customWidth="1"/>
  </cols>
  <sheetData>
    <row r="1" spans="1:26" ht="14.25">
      <c r="A1" s="3"/>
      <c r="B1" s="3"/>
      <c r="C1" s="3"/>
      <c r="D1" s="3"/>
      <c r="E1" s="3"/>
      <c r="F1" s="3"/>
      <c r="G1" s="3"/>
      <c r="H1" s="3"/>
      <c r="I1" s="3"/>
      <c r="J1" s="3"/>
      <c r="K1" s="3"/>
      <c r="L1" s="3"/>
      <c r="M1" s="3"/>
      <c r="N1" s="3"/>
      <c r="O1" s="3"/>
      <c r="P1" s="3"/>
      <c r="Q1" s="3"/>
      <c r="R1" s="3"/>
      <c r="S1" s="3"/>
      <c r="T1" s="3"/>
      <c r="U1" s="3"/>
      <c r="V1" s="3"/>
      <c r="W1" s="3"/>
      <c r="X1" s="3"/>
      <c r="Y1" s="3"/>
      <c r="Z1" s="3"/>
    </row>
    <row r="2" spans="1:26" ht="15" thickBot="1">
      <c r="A2" s="3"/>
      <c r="B2" s="3"/>
      <c r="C2" s="3"/>
      <c r="D2" s="3"/>
      <c r="E2" s="3"/>
      <c r="F2" s="3"/>
      <c r="G2" s="3"/>
      <c r="H2" s="3"/>
      <c r="I2" s="3"/>
      <c r="J2" s="3"/>
      <c r="K2" s="3"/>
      <c r="L2" s="3"/>
      <c r="M2" s="3"/>
      <c r="N2" s="3"/>
      <c r="O2" s="3"/>
      <c r="P2" s="3"/>
      <c r="Q2" s="3"/>
      <c r="R2" s="3"/>
      <c r="S2" s="3"/>
      <c r="T2" s="3"/>
      <c r="U2" s="3"/>
      <c r="V2" s="3"/>
      <c r="W2" s="3"/>
      <c r="X2" s="3"/>
      <c r="Y2" s="3"/>
      <c r="Z2" s="3"/>
    </row>
    <row r="3" spans="1:26" ht="27" customHeight="1">
      <c r="A3" s="3"/>
      <c r="B3" s="22"/>
      <c r="C3" s="22"/>
      <c r="D3" s="22"/>
      <c r="E3" s="22"/>
      <c r="F3" s="22"/>
      <c r="G3" s="22"/>
      <c r="H3" s="22"/>
      <c r="I3" s="22"/>
      <c r="J3" s="22"/>
      <c r="K3" s="22"/>
      <c r="L3" s="217"/>
      <c r="M3" s="218"/>
      <c r="N3" s="10"/>
      <c r="O3" s="219" t="s">
        <v>15</v>
      </c>
      <c r="P3" s="220"/>
      <c r="Q3" s="220"/>
      <c r="R3" s="220"/>
      <c r="S3" s="220"/>
      <c r="T3" s="221"/>
      <c r="U3" s="3"/>
      <c r="V3" s="3"/>
      <c r="W3" s="3"/>
      <c r="X3" s="3"/>
      <c r="Y3" s="3"/>
      <c r="Z3" s="3"/>
    </row>
    <row r="4" spans="1:26" ht="26.25" customHeight="1" thickBot="1">
      <c r="A4" s="3"/>
      <c r="B4" s="22"/>
      <c r="C4" s="22"/>
      <c r="D4" s="22"/>
      <c r="E4" s="22"/>
      <c r="F4" s="22"/>
      <c r="G4" s="22"/>
      <c r="H4" s="22"/>
      <c r="I4" s="22"/>
      <c r="J4" s="22"/>
      <c r="K4" s="22"/>
      <c r="L4" s="225" t="s">
        <v>41</v>
      </c>
      <c r="M4" s="226"/>
      <c r="N4" s="227"/>
      <c r="O4" s="222"/>
      <c r="P4" s="223"/>
      <c r="Q4" s="223"/>
      <c r="R4" s="223"/>
      <c r="S4" s="223"/>
      <c r="T4" s="224"/>
      <c r="U4" s="3"/>
      <c r="V4" s="216" t="s">
        <v>116</v>
      </c>
      <c r="W4" s="216"/>
      <c r="X4" s="216"/>
      <c r="Y4" s="216"/>
      <c r="Z4" s="3"/>
    </row>
    <row r="5" spans="1:26" ht="21" thickTop="1" thickBot="1">
      <c r="A5" s="3"/>
      <c r="B5" s="22"/>
      <c r="C5" s="22"/>
      <c r="D5" s="22"/>
      <c r="E5" s="22"/>
      <c r="F5" s="22"/>
      <c r="G5" s="22"/>
      <c r="H5" s="22"/>
      <c r="I5" s="22"/>
      <c r="J5" s="22"/>
      <c r="K5" s="22"/>
      <c r="L5" s="112" t="s">
        <v>106</v>
      </c>
      <c r="M5" s="113"/>
      <c r="N5" s="113"/>
      <c r="O5" s="114"/>
      <c r="P5" s="193" t="s">
        <v>107</v>
      </c>
      <c r="Q5" s="194"/>
      <c r="R5" s="194"/>
      <c r="S5" s="195"/>
      <c r="T5" s="191" t="s">
        <v>17</v>
      </c>
      <c r="U5" s="3"/>
      <c r="V5" s="216"/>
      <c r="W5" s="216"/>
      <c r="X5" s="216"/>
      <c r="Y5" s="216"/>
      <c r="Z5" s="3"/>
    </row>
    <row r="6" spans="1:26" ht="21.75" customHeight="1" thickBot="1">
      <c r="A6" s="3"/>
      <c r="B6" s="22"/>
      <c r="C6" s="22"/>
      <c r="D6" s="22"/>
      <c r="E6" s="22"/>
      <c r="F6" s="22"/>
      <c r="G6" s="22"/>
      <c r="H6" s="22"/>
      <c r="I6" s="22"/>
      <c r="J6" s="22"/>
      <c r="K6" s="22"/>
      <c r="L6" s="8">
        <f>IFERROR(INT(L27),0)</f>
        <v>21</v>
      </c>
      <c r="M6" s="129" t="s">
        <v>20</v>
      </c>
      <c r="N6" s="130"/>
      <c r="O6" s="185"/>
      <c r="P6" s="14">
        <v>10</v>
      </c>
      <c r="Q6" s="129" t="s">
        <v>0</v>
      </c>
      <c r="R6" s="130"/>
      <c r="S6" s="130"/>
      <c r="T6" s="192"/>
      <c r="U6" s="3"/>
      <c r="V6" s="3"/>
      <c r="W6" s="3"/>
      <c r="X6" s="3"/>
      <c r="Y6" s="3"/>
      <c r="Z6" s="3"/>
    </row>
    <row r="7" spans="1:26" ht="20.25" thickBot="1">
      <c r="A7" s="3"/>
      <c r="B7" s="22"/>
      <c r="C7" s="22"/>
      <c r="D7" s="22"/>
      <c r="E7" s="22"/>
      <c r="F7" s="22"/>
      <c r="G7" s="22"/>
      <c r="H7" s="22"/>
      <c r="I7" s="22"/>
      <c r="J7" s="22"/>
      <c r="K7" s="23"/>
      <c r="L7" s="8">
        <f>IFERROR((L29)*P12,0)</f>
        <v>0.21800000000000225</v>
      </c>
      <c r="M7" s="150" t="s">
        <v>21</v>
      </c>
      <c r="N7" s="151"/>
      <c r="O7" s="186"/>
      <c r="P7" s="14">
        <v>6</v>
      </c>
      <c r="Q7" s="129" t="s">
        <v>109</v>
      </c>
      <c r="R7" s="130"/>
      <c r="S7" s="130"/>
      <c r="T7" s="192"/>
      <c r="U7" s="3"/>
      <c r="V7" s="3"/>
      <c r="W7" s="3"/>
      <c r="X7" s="3"/>
      <c r="Y7" s="3"/>
      <c r="Z7" s="3"/>
    </row>
    <row r="8" spans="1:26" ht="20.25" thickBot="1">
      <c r="A8" s="3"/>
      <c r="B8" s="22"/>
      <c r="C8" s="22"/>
      <c r="D8" s="22"/>
      <c r="E8" s="22"/>
      <c r="F8" s="22"/>
      <c r="G8" s="22"/>
      <c r="H8" s="22"/>
      <c r="I8" s="22"/>
      <c r="J8" s="22"/>
      <c r="K8" s="23"/>
      <c r="L8" s="9">
        <f>IFERROR((ROUNDUP(L67,0)),0)</f>
        <v>179</v>
      </c>
      <c r="M8" s="210" t="s">
        <v>3</v>
      </c>
      <c r="N8" s="211"/>
      <c r="O8" s="212"/>
      <c r="P8" s="14">
        <v>8</v>
      </c>
      <c r="Q8" s="129" t="s">
        <v>110</v>
      </c>
      <c r="R8" s="130"/>
      <c r="S8" s="130"/>
      <c r="T8" s="192"/>
      <c r="U8" s="3"/>
      <c r="V8" s="3"/>
      <c r="W8" s="3"/>
      <c r="X8" s="3"/>
      <c r="Y8" s="3"/>
      <c r="Z8" s="3"/>
    </row>
    <row r="9" spans="1:26" ht="18.75" customHeight="1" thickTop="1" thickBot="1">
      <c r="A9" s="3"/>
      <c r="B9" s="22"/>
      <c r="C9" s="22"/>
      <c r="D9" s="22"/>
      <c r="E9" s="22"/>
      <c r="F9" s="22"/>
      <c r="G9" s="22"/>
      <c r="H9" s="22"/>
      <c r="I9" s="22"/>
      <c r="J9" s="22"/>
      <c r="K9" s="23"/>
      <c r="L9" s="13">
        <f>IFERROR(INT(P13/P12),0)</f>
        <v>42</v>
      </c>
      <c r="M9" s="207" t="s">
        <v>22</v>
      </c>
      <c r="N9" s="208"/>
      <c r="O9" s="209"/>
      <c r="P9" s="14">
        <f>P10+P11</f>
        <v>20</v>
      </c>
      <c r="Q9" s="129" t="s">
        <v>40</v>
      </c>
      <c r="R9" s="130"/>
      <c r="S9" s="130"/>
      <c r="T9" s="192"/>
      <c r="U9" s="3"/>
      <c r="V9" s="3"/>
      <c r="W9" s="3"/>
      <c r="X9" s="3"/>
      <c r="Y9" s="3"/>
      <c r="Z9" s="3"/>
    </row>
    <row r="10" spans="1:26" ht="18.75" customHeight="1" thickBot="1">
      <c r="A10" s="3"/>
      <c r="B10" s="22"/>
      <c r="C10" s="22"/>
      <c r="D10" s="22"/>
      <c r="E10" s="22"/>
      <c r="F10" s="22"/>
      <c r="G10" s="22"/>
      <c r="H10" s="22"/>
      <c r="I10" s="22"/>
      <c r="J10" s="22"/>
      <c r="K10" s="22"/>
      <c r="L10" s="8">
        <f>IFERROR(ROUNDUP(((P13/P12)-L9)*P12,2),0)</f>
        <v>0.44</v>
      </c>
      <c r="M10" s="150" t="s">
        <v>8</v>
      </c>
      <c r="N10" s="151"/>
      <c r="O10" s="186"/>
      <c r="P10" s="14">
        <v>10</v>
      </c>
      <c r="Q10" s="150" t="s">
        <v>47</v>
      </c>
      <c r="R10" s="151"/>
      <c r="S10" s="151"/>
      <c r="T10" s="192"/>
      <c r="U10" s="3"/>
      <c r="V10" s="3"/>
      <c r="W10" s="3"/>
      <c r="X10" s="3"/>
      <c r="Y10" s="3"/>
      <c r="Z10" s="3"/>
    </row>
    <row r="11" spans="1:26" ht="18.75" customHeight="1" thickBot="1">
      <c r="A11" s="3"/>
      <c r="B11" s="22"/>
      <c r="C11" s="22"/>
      <c r="D11" s="22"/>
      <c r="E11" s="22"/>
      <c r="F11" s="22"/>
      <c r="G11" s="22"/>
      <c r="H11" s="22"/>
      <c r="I11" s="22"/>
      <c r="J11" s="22"/>
      <c r="K11" s="22"/>
      <c r="L11" s="7">
        <f>IFERROR(IF(L10&gt;0.44,(2+L9*2),(1+L9*2)),0)</f>
        <v>85</v>
      </c>
      <c r="M11" s="150" t="s">
        <v>46</v>
      </c>
      <c r="N11" s="151"/>
      <c r="O11" s="186"/>
      <c r="P11" s="14">
        <v>10</v>
      </c>
      <c r="Q11" s="150" t="s">
        <v>48</v>
      </c>
      <c r="R11" s="151"/>
      <c r="S11" s="151"/>
      <c r="T11" s="192"/>
      <c r="U11" s="3"/>
      <c r="V11" s="3"/>
      <c r="W11" s="3"/>
      <c r="X11" s="3"/>
      <c r="Y11" s="3"/>
      <c r="Z11" s="3"/>
    </row>
    <row r="12" spans="1:26" ht="18.75" customHeight="1" thickBot="1">
      <c r="A12" s="3"/>
      <c r="B12" s="22"/>
      <c r="C12" s="22"/>
      <c r="D12" s="22"/>
      <c r="E12" s="22"/>
      <c r="F12" s="22"/>
      <c r="G12" s="22"/>
      <c r="H12" s="22"/>
      <c r="I12" s="22"/>
      <c r="J12" s="22"/>
      <c r="K12" s="22"/>
      <c r="L12" s="11">
        <f>IFERROR(ROUNDUP((L11*P12*P7),0),0)</f>
        <v>481</v>
      </c>
      <c r="M12" s="198" t="s">
        <v>23</v>
      </c>
      <c r="N12" s="199"/>
      <c r="O12" s="200"/>
      <c r="P12" s="14">
        <v>0.94199999999999995</v>
      </c>
      <c r="Q12" s="129" t="s">
        <v>1</v>
      </c>
      <c r="R12" s="130"/>
      <c r="S12" s="130"/>
      <c r="T12" s="192"/>
      <c r="U12" s="3"/>
      <c r="V12" s="3"/>
      <c r="W12" s="3"/>
      <c r="X12" s="3"/>
      <c r="Y12" s="3"/>
      <c r="Z12" s="3"/>
    </row>
    <row r="13" spans="1:26" ht="18" customHeight="1" thickBot="1">
      <c r="A13" s="3"/>
      <c r="B13" s="22"/>
      <c r="C13" s="22"/>
      <c r="D13" s="22"/>
      <c r="E13" s="22"/>
      <c r="F13" s="22"/>
      <c r="G13" s="22"/>
      <c r="H13" s="22"/>
      <c r="I13" s="22"/>
      <c r="J13" s="22"/>
      <c r="K13" s="22"/>
      <c r="L13" s="11">
        <f>IFERROR(ROUNDUP((L11*P12*P8),0),0)</f>
        <v>641</v>
      </c>
      <c r="M13" s="198" t="s">
        <v>24</v>
      </c>
      <c r="N13" s="199"/>
      <c r="O13" s="200"/>
      <c r="P13" s="14">
        <v>40</v>
      </c>
      <c r="Q13" s="129" t="s">
        <v>2</v>
      </c>
      <c r="R13" s="130"/>
      <c r="S13" s="130"/>
      <c r="T13" s="192"/>
      <c r="U13" s="3"/>
      <c r="V13" s="3"/>
      <c r="W13" s="3"/>
      <c r="X13" s="3"/>
      <c r="Y13" s="3"/>
      <c r="Z13" s="3"/>
    </row>
    <row r="14" spans="1:26" ht="21" thickTop="1" thickBot="1">
      <c r="A14" s="3"/>
      <c r="B14" s="22"/>
      <c r="C14" s="22"/>
      <c r="D14" s="22"/>
      <c r="E14" s="22"/>
      <c r="F14" s="22"/>
      <c r="G14" s="22"/>
      <c r="H14" s="22"/>
      <c r="I14" s="22"/>
      <c r="J14" s="22"/>
      <c r="K14" s="22"/>
      <c r="L14" s="12">
        <f>IFERROR(ROUNDUP(H32,2),0)</f>
        <v>11.529999999999999</v>
      </c>
      <c r="M14" s="201" t="s">
        <v>25</v>
      </c>
      <c r="N14" s="202"/>
      <c r="O14" s="203"/>
      <c r="P14" s="14">
        <v>1</v>
      </c>
      <c r="Q14" s="129" t="s">
        <v>9</v>
      </c>
      <c r="R14" s="130"/>
      <c r="S14" s="130"/>
      <c r="T14" s="192"/>
      <c r="U14" s="3"/>
      <c r="V14" s="3"/>
      <c r="W14" s="3"/>
      <c r="X14" s="3"/>
      <c r="Y14" s="3"/>
      <c r="Z14" s="3"/>
    </row>
    <row r="15" spans="1:26" ht="18.75" customHeight="1" thickBot="1">
      <c r="A15" s="3"/>
      <c r="B15" s="22"/>
      <c r="C15" s="22"/>
      <c r="D15" s="22"/>
      <c r="E15" s="22"/>
      <c r="F15" s="22"/>
      <c r="G15" s="22"/>
      <c r="H15" s="22"/>
      <c r="I15" s="22"/>
      <c r="J15" s="22"/>
      <c r="K15" s="22"/>
      <c r="L15" s="7">
        <f>IFERROR(ROUNDUP(N32,2),0)</f>
        <v>10.949999999999999</v>
      </c>
      <c r="M15" s="150" t="s">
        <v>26</v>
      </c>
      <c r="N15" s="151"/>
      <c r="O15" s="186"/>
      <c r="P15" s="14">
        <v>1</v>
      </c>
      <c r="Q15" s="129" t="s">
        <v>10</v>
      </c>
      <c r="R15" s="130"/>
      <c r="S15" s="130"/>
      <c r="T15" s="192"/>
      <c r="U15" s="3"/>
      <c r="V15" s="3"/>
      <c r="W15" s="3"/>
      <c r="X15" s="3"/>
      <c r="Y15" s="3"/>
      <c r="Z15" s="3"/>
    </row>
    <row r="16" spans="1:26" ht="18.75" customHeight="1" thickBot="1">
      <c r="A16" s="3"/>
      <c r="B16" s="22"/>
      <c r="C16" s="22"/>
      <c r="D16" s="22"/>
      <c r="E16" s="22"/>
      <c r="F16" s="22"/>
      <c r="G16" s="22"/>
      <c r="H16" s="22"/>
      <c r="I16" s="22"/>
      <c r="J16" s="22"/>
      <c r="K16" s="22"/>
      <c r="L16" s="8">
        <f>IFERROR(ROUNDUP(H29,1),0)</f>
        <v>40</v>
      </c>
      <c r="M16" s="129" t="s">
        <v>18</v>
      </c>
      <c r="N16" s="130"/>
      <c r="O16" s="185"/>
      <c r="P16" s="14">
        <v>0.25</v>
      </c>
      <c r="Q16" s="150" t="s">
        <v>11</v>
      </c>
      <c r="R16" s="151"/>
      <c r="S16" s="151"/>
      <c r="T16" s="192"/>
      <c r="U16" s="3"/>
      <c r="V16" s="3"/>
      <c r="W16" s="3"/>
      <c r="X16" s="3"/>
      <c r="Y16" s="3"/>
      <c r="Z16" s="3"/>
    </row>
    <row r="17" spans="1:26" ht="20.25" thickBot="1">
      <c r="A17" s="3"/>
      <c r="B17" s="22"/>
      <c r="C17" s="22"/>
      <c r="D17" s="22"/>
      <c r="E17" s="22"/>
      <c r="F17" s="22"/>
      <c r="G17" s="22"/>
      <c r="H17" s="22"/>
      <c r="I17" s="22"/>
      <c r="J17" s="22"/>
      <c r="K17" s="22"/>
      <c r="L17" s="8">
        <f>IFERROR(ROUNDUP(N29,1),0)</f>
        <v>20</v>
      </c>
      <c r="M17" s="232" t="s">
        <v>19</v>
      </c>
      <c r="N17" s="233"/>
      <c r="O17" s="234"/>
      <c r="P17" s="14">
        <v>0.945</v>
      </c>
      <c r="Q17" s="129" t="s">
        <v>13</v>
      </c>
      <c r="R17" s="130"/>
      <c r="S17" s="130"/>
      <c r="T17" s="192"/>
      <c r="U17" s="3"/>
      <c r="V17" s="3"/>
      <c r="W17" s="3"/>
      <c r="X17" s="3"/>
      <c r="Y17" s="3"/>
      <c r="Z17" s="3"/>
    </row>
    <row r="18" spans="1:26" ht="19.5" customHeight="1" thickBot="1">
      <c r="A18" s="3"/>
      <c r="B18" s="22"/>
      <c r="C18" s="22"/>
      <c r="D18" s="22"/>
      <c r="E18" s="22"/>
      <c r="F18" s="22"/>
      <c r="G18" s="22"/>
      <c r="H18" s="22"/>
      <c r="I18" s="22"/>
      <c r="J18" s="22"/>
      <c r="K18" s="22"/>
      <c r="L18" s="8">
        <f>IFERROR(INT((P13+(P15*2))/P17),0)</f>
        <v>44</v>
      </c>
      <c r="M18" s="150" t="s">
        <v>12</v>
      </c>
      <c r="N18" s="151"/>
      <c r="O18" s="186"/>
      <c r="P18" s="196" t="str">
        <f>IF(OR(R28=TRUE,R29=TRUE,R30=TRUE,R31=TRUE,R32=TRUE,R33=TRUE,R34=TRUE,R35=TRUE,R36=TRUE,R37=TRUE,R38=TRUE,R39=TRUE),"لطفا عدد وارد کنید","")</f>
        <v/>
      </c>
      <c r="Q18" s="197"/>
      <c r="R18" s="197"/>
      <c r="S18" s="197"/>
      <c r="T18" s="192"/>
      <c r="U18" s="3"/>
      <c r="V18" s="3"/>
      <c r="W18" s="3"/>
      <c r="X18" s="3"/>
      <c r="Y18" s="3"/>
      <c r="Z18" s="3"/>
    </row>
    <row r="19" spans="1:26" ht="20.25" customHeight="1" thickBot="1">
      <c r="A19" s="3"/>
      <c r="B19" s="22"/>
      <c r="C19" s="22"/>
      <c r="D19" s="22"/>
      <c r="E19" s="22"/>
      <c r="F19" s="22"/>
      <c r="G19" s="22"/>
      <c r="H19" s="22"/>
      <c r="I19" s="22"/>
      <c r="J19" s="22"/>
      <c r="K19" s="22"/>
      <c r="L19" s="8">
        <f>IFERROR((((P13+(P15*2))/P17)-L18)*P17,0)</f>
        <v>0.4200000000000052</v>
      </c>
      <c r="M19" s="150" t="s">
        <v>14</v>
      </c>
      <c r="N19" s="151"/>
      <c r="O19" s="186"/>
      <c r="P19" s="228" t="str">
        <f>IF(AND(L14&gt;13.5,L15&gt;13.5),"به دلیل عدم توانایی در حمل پنل سقفی بلندتر از 13.5 متر باید طول پنل هر دو طرف، دو قسمت شده و روی هم اورلب شوند",IF(AND(L14&lt;13.5,L15&lt;13.5),"",IF(L14&gt;13.5,"به دلیل عدم توانایی در حمل پنل سقفی بلندتر از 13.5 متر باید طول پنل سمت چپ دو قسمت شده و روی هم اورلب شوند",IF(L15&gt;13.5,"به دلیل عدم توانایی در حمل پنل سقفی بلندتر از 13.5 متر باید طول پنل سمت راست دو قسمت شده و روی هم اورلب شوند",""))))</f>
        <v/>
      </c>
      <c r="Q19" s="229"/>
      <c r="R19" s="229"/>
      <c r="S19" s="229"/>
      <c r="T19" s="192"/>
      <c r="U19" s="3"/>
      <c r="V19" s="3"/>
      <c r="W19" s="3"/>
      <c r="X19" s="3"/>
      <c r="Y19" s="3"/>
      <c r="Z19" s="3"/>
    </row>
    <row r="20" spans="1:26" ht="18.75" thickBot="1">
      <c r="A20" s="3"/>
      <c r="B20" s="22"/>
      <c r="C20" s="22"/>
      <c r="D20" s="22"/>
      <c r="E20" s="22"/>
      <c r="F20" s="22"/>
      <c r="G20" s="22"/>
      <c r="H20" s="22"/>
      <c r="I20" s="22"/>
      <c r="J20" s="22"/>
      <c r="K20" s="22"/>
      <c r="L20" s="9">
        <f>IFERROR(((L18*L14*P17)+(L18*L15*P17)+(L35*L36)),0)</f>
        <v>945.61424999999997</v>
      </c>
      <c r="M20" s="204" t="s">
        <v>27</v>
      </c>
      <c r="N20" s="205"/>
      <c r="O20" s="206"/>
      <c r="P20" s="230"/>
      <c r="Q20" s="231"/>
      <c r="R20" s="231"/>
      <c r="S20" s="231"/>
      <c r="T20" s="192"/>
      <c r="U20" s="3"/>
      <c r="V20" s="3"/>
      <c r="W20" s="3"/>
      <c r="X20" s="3"/>
      <c r="Y20" s="3"/>
      <c r="Z20" s="3"/>
    </row>
    <row r="21" spans="1:26" ht="21" thickTop="1" thickBot="1">
      <c r="A21" s="3"/>
      <c r="B21" s="187" t="s">
        <v>49</v>
      </c>
      <c r="C21" s="188"/>
      <c r="D21" s="15">
        <f>IFERROR(IF(D86=0,"",D86),"")</f>
        <v>6.3799999999999999</v>
      </c>
      <c r="E21" s="15">
        <f t="shared" si="0" ref="E21:T21">IFERROR(IF(E86=0,"",E86),"")</f>
        <v>6.75</v>
      </c>
      <c r="F21" s="15">
        <f t="shared" si="0"/>
        <v>7.1299999999999999</v>
      </c>
      <c r="G21" s="15">
        <f t="shared" si="0"/>
        <v>7.5099999999999998</v>
      </c>
      <c r="H21" s="15">
        <f t="shared" si="0"/>
        <v>7.8799999999999999</v>
      </c>
      <c r="I21" s="15">
        <f t="shared" si="0"/>
        <v>8.2599999999999998</v>
      </c>
      <c r="J21" s="15">
        <f t="shared" si="0"/>
        <v>8.6400000000000006</v>
      </c>
      <c r="K21" s="15">
        <f t="shared" si="0"/>
        <v>9.0099999999999998</v>
      </c>
      <c r="L21" s="15">
        <f t="shared" si="0"/>
        <v>9.3900000000000006</v>
      </c>
      <c r="M21" s="15">
        <f t="shared" si="0"/>
        <v>9.7699999999999996</v>
      </c>
      <c r="N21" s="15">
        <f t="shared" si="0"/>
        <v>10</v>
      </c>
      <c r="O21" s="15" t="str">
        <f t="shared" si="0"/>
        <v/>
      </c>
      <c r="P21" s="15" t="str">
        <f t="shared" si="0"/>
        <v/>
      </c>
      <c r="Q21" s="15" t="str">
        <f t="shared" si="0"/>
        <v/>
      </c>
      <c r="R21" s="15" t="str">
        <f t="shared" si="0"/>
        <v/>
      </c>
      <c r="S21" s="15" t="str">
        <f t="shared" si="0"/>
        <v/>
      </c>
      <c r="T21" s="18" t="str">
        <f t="shared" si="0"/>
        <v/>
      </c>
      <c r="U21" s="3"/>
      <c r="V21" s="3"/>
      <c r="W21" s="3"/>
      <c r="X21" s="3"/>
      <c r="Y21" s="3"/>
      <c r="Z21" s="3"/>
    </row>
    <row r="22" spans="1:26" ht="20.25" thickBot="1">
      <c r="A22" s="3"/>
      <c r="B22" s="189" t="s">
        <v>50</v>
      </c>
      <c r="C22" s="190"/>
      <c r="D22" s="16" t="str">
        <f t="shared" si="1" ref="D22:S22">IFERROR(IF(D87=0,"",D87),"")</f>
        <v/>
      </c>
      <c r="E22" s="16" t="str">
        <f t="shared" si="1"/>
        <v/>
      </c>
      <c r="F22" s="16" t="str">
        <f t="shared" si="1"/>
        <v/>
      </c>
      <c r="G22" s="16" t="str">
        <f t="shared" si="1"/>
        <v/>
      </c>
      <c r="H22" s="16" t="str">
        <f t="shared" si="1"/>
        <v/>
      </c>
      <c r="I22" s="16" t="str">
        <f t="shared" si="1"/>
        <v/>
      </c>
      <c r="J22" s="16">
        <f t="shared" si="1"/>
        <v>9.9299999999999997</v>
      </c>
      <c r="K22" s="16">
        <f t="shared" si="1"/>
        <v>9.7400000000000002</v>
      </c>
      <c r="L22" s="16">
        <f t="shared" si="1"/>
        <v>9.5500000000000007</v>
      </c>
      <c r="M22" s="16">
        <f t="shared" si="1"/>
        <v>9.3599999999999994</v>
      </c>
      <c r="N22" s="16">
        <f t="shared" si="1"/>
        <v>9.1699999999999999</v>
      </c>
      <c r="O22" s="16">
        <f t="shared" si="1"/>
        <v>8.9900000000000002</v>
      </c>
      <c r="P22" s="16">
        <f t="shared" si="1"/>
        <v>8.8000000000000007</v>
      </c>
      <c r="Q22" s="16">
        <f t="shared" si="1"/>
        <v>8.6099999999999994</v>
      </c>
      <c r="R22" s="16">
        <f t="shared" si="1"/>
        <v>8.4199999999999999</v>
      </c>
      <c r="S22" s="16">
        <f t="shared" si="1"/>
        <v>8.2300000000000004</v>
      </c>
      <c r="T22" s="17">
        <f>IFERROR(IF(T87=0,"",T87),"")</f>
        <v>8.0399999999999991</v>
      </c>
      <c r="U22" s="3"/>
      <c r="V22" s="3"/>
      <c r="W22" s="3"/>
      <c r="X22" s="3"/>
      <c r="Y22" s="3"/>
      <c r="Z22" s="3"/>
    </row>
    <row r="23" spans="1:26" ht="25.5" customHeight="1" thickTop="1" thickBot="1">
      <c r="A23" s="3"/>
      <c r="B23" s="213" t="s">
        <v>114</v>
      </c>
      <c r="C23" s="214"/>
      <c r="D23" s="214"/>
      <c r="E23" s="214"/>
      <c r="F23" s="214"/>
      <c r="G23" s="214"/>
      <c r="H23" s="214"/>
      <c r="I23" s="214"/>
      <c r="J23" s="214"/>
      <c r="K23" s="214"/>
      <c r="L23" s="214"/>
      <c r="M23" s="214"/>
      <c r="N23" s="214"/>
      <c r="O23" s="214"/>
      <c r="P23" s="214"/>
      <c r="Q23" s="214"/>
      <c r="R23" s="214"/>
      <c r="S23" s="214"/>
      <c r="T23" s="215"/>
      <c r="U23" s="3"/>
      <c r="V23" s="3"/>
      <c r="W23" s="3"/>
      <c r="X23" s="3"/>
      <c r="Y23" s="3"/>
      <c r="Z23" s="3"/>
    </row>
    <row r="24" spans="1:26" ht="15" thickTop="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4.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4:26" ht="14.25">
      <c r="D26" s="1"/>
      <c r="E26" s="1"/>
      <c r="F26" s="1"/>
      <c r="G26" s="5"/>
      <c r="H26" s="5"/>
      <c r="I26" s="5"/>
      <c r="J26" s="5"/>
      <c r="K26" s="5"/>
      <c r="L26" s="5"/>
      <c r="M26" s="5"/>
      <c r="N26" s="5"/>
      <c r="O26" s="5"/>
      <c r="P26" s="5"/>
      <c r="Q26" s="5"/>
      <c r="R26" s="5"/>
      <c r="S26" s="5"/>
      <c r="T26" s="1"/>
      <c r="U26" s="5"/>
      <c r="V26" s="4"/>
      <c r="W26" s="4"/>
      <c r="X26" s="4"/>
      <c r="Y26" s="4"/>
      <c r="Z26" s="4"/>
    </row>
    <row r="27" spans="4:21" ht="14.25">
      <c r="D27" s="6"/>
      <c r="E27" s="6"/>
      <c r="F27" s="6"/>
      <c r="G27" s="2"/>
      <c r="H27" s="2">
        <f>P6-P7</f>
        <v>4</v>
      </c>
      <c r="I27" s="2">
        <f>H28/P12</f>
        <v>10.615711252653929</v>
      </c>
      <c r="J27" s="6"/>
      <c r="K27" s="2"/>
      <c r="L27" s="2">
        <f>I27+O27</f>
        <v>21.231422505307858</v>
      </c>
      <c r="M27" s="2"/>
      <c r="N27" s="2">
        <f>P6-P8</f>
        <v>2</v>
      </c>
      <c r="O27" s="2">
        <f>N28/P12</f>
        <v>10.615711252653929</v>
      </c>
      <c r="P27" s="2"/>
      <c r="Q27" s="2"/>
      <c r="R27" s="2"/>
      <c r="S27" s="2"/>
      <c r="T27" s="6"/>
      <c r="U27" s="1"/>
    </row>
    <row r="28" spans="4:21" ht="14.25">
      <c r="D28" s="6"/>
      <c r="E28" s="6"/>
      <c r="F28" s="6"/>
      <c r="G28" s="2"/>
      <c r="H28" s="2">
        <f>P10</f>
        <v>10</v>
      </c>
      <c r="I28" s="2">
        <f>INT(I27)</f>
        <v>10</v>
      </c>
      <c r="J28" s="6"/>
      <c r="K28" s="2"/>
      <c r="L28" s="2">
        <f>INT(L27)</f>
        <v>21</v>
      </c>
      <c r="M28" s="2"/>
      <c r="N28" s="2">
        <f>P11</f>
        <v>10</v>
      </c>
      <c r="O28" s="2">
        <f>INT(O27)</f>
        <v>10</v>
      </c>
      <c r="P28" s="2"/>
      <c r="Q28" s="2"/>
      <c r="R28" s="2" t="b">
        <f>ISTEXT(P6)</f>
        <v>0</v>
      </c>
      <c r="S28" s="2"/>
      <c r="T28" s="6"/>
      <c r="U28" s="1"/>
    </row>
    <row r="29" spans="4:21" ht="14.25">
      <c r="D29" s="2">
        <f>P10/P12</f>
        <v>10.615711252653929</v>
      </c>
      <c r="E29" s="6"/>
      <c r="F29" s="6"/>
      <c r="G29" s="6"/>
      <c r="H29" s="2">
        <f>(H27/H28)*100</f>
        <v>40</v>
      </c>
      <c r="I29" s="2">
        <f>I27-I28</f>
        <v>0.61571125265392901</v>
      </c>
      <c r="J29" s="6"/>
      <c r="K29" s="2"/>
      <c r="L29" s="2">
        <f>L27-L28</f>
        <v>0.23142250530785802</v>
      </c>
      <c r="M29" s="2"/>
      <c r="N29" s="2">
        <f>(N27/N28)*100</f>
        <v>20</v>
      </c>
      <c r="O29" s="2">
        <f>O27-O28</f>
        <v>0.61571125265392901</v>
      </c>
      <c r="P29" s="2"/>
      <c r="Q29" s="2"/>
      <c r="R29" s="2" t="b">
        <f t="shared" si="2" ref="R29:R38">ISTEXT(P7)</f>
        <v>0</v>
      </c>
      <c r="S29" s="2"/>
      <c r="T29" s="6"/>
      <c r="U29" s="1"/>
    </row>
    <row r="30" spans="4:21" ht="14.25">
      <c r="D30" s="6">
        <f>INT(D29)</f>
        <v>10</v>
      </c>
      <c r="E30" s="6"/>
      <c r="F30" s="6"/>
      <c r="G30" s="2"/>
      <c r="H30" s="2"/>
      <c r="I30" s="2"/>
      <c r="J30" s="6"/>
      <c r="K30" s="2"/>
      <c r="L30" s="2"/>
      <c r="M30" s="2"/>
      <c r="N30" s="2"/>
      <c r="O30" s="2"/>
      <c r="P30" s="2"/>
      <c r="Q30" s="2">
        <f>P11/P12</f>
        <v>10.615711252653929</v>
      </c>
      <c r="R30" s="2" t="b">
        <f t="shared" si="2"/>
        <v>0</v>
      </c>
      <c r="S30" s="2"/>
      <c r="T30" s="6"/>
      <c r="U30" s="1"/>
    </row>
    <row r="31" spans="4:21" ht="14.25">
      <c r="D31" s="6">
        <f>(D29-D30)*P12</f>
        <v>0.58000000000000107</v>
      </c>
      <c r="E31" s="6"/>
      <c r="F31" s="6"/>
      <c r="G31" s="2"/>
      <c r="H31" s="2">
        <f>(SQRT((POWER(H28,2))+(POWER(H27,2))))+P14-P16</f>
        <v>11.520329614269007</v>
      </c>
      <c r="I31" s="2"/>
      <c r="J31" s="6"/>
      <c r="K31" s="2"/>
      <c r="L31" s="2"/>
      <c r="M31" s="2"/>
      <c r="N31" s="2">
        <f>(SQRT((POWER(N28,2))+(POWER(N27,2))))+P14-P16</f>
        <v>10.948039027185569</v>
      </c>
      <c r="O31" s="2"/>
      <c r="P31" s="2"/>
      <c r="Q31" s="2">
        <f>INT(Q30)</f>
        <v>10</v>
      </c>
      <c r="R31" s="2" t="b">
        <f t="shared" si="2"/>
        <v>0</v>
      </c>
      <c r="S31" s="2"/>
      <c r="T31" s="6"/>
      <c r="U31" s="1"/>
    </row>
    <row r="32" spans="4:21" ht="14.25">
      <c r="D32" s="6"/>
      <c r="E32" s="6"/>
      <c r="F32" s="6"/>
      <c r="G32" s="2"/>
      <c r="H32" s="2">
        <f>(IF(H31&gt;13.5,H31+0.2,H31))</f>
        <v>11.520329614269007</v>
      </c>
      <c r="I32" s="2"/>
      <c r="J32" s="2"/>
      <c r="K32" s="2"/>
      <c r="L32" s="2"/>
      <c r="M32" s="2"/>
      <c r="N32" s="2">
        <f>(IF(N31&gt;13.5,N31+0.2,N31))</f>
        <v>10.948039027185569</v>
      </c>
      <c r="O32" s="2"/>
      <c r="P32" s="2"/>
      <c r="Q32" s="2">
        <f>(Q30-Q31)*P12</f>
        <v>0.58000000000000107</v>
      </c>
      <c r="R32" s="2" t="b">
        <f t="shared" si="2"/>
        <v>0</v>
      </c>
      <c r="S32" s="2"/>
      <c r="T32" s="6"/>
      <c r="U32" s="1"/>
    </row>
    <row r="33" spans="4:21" ht="14.25">
      <c r="D33" s="6"/>
      <c r="E33" s="6"/>
      <c r="F33" s="6"/>
      <c r="G33" s="2"/>
      <c r="H33" s="2"/>
      <c r="I33" s="2"/>
      <c r="J33" s="2"/>
      <c r="K33" s="2"/>
      <c r="L33" s="2">
        <f>IF(L19&gt;((P17)/2),2,1)</f>
        <v>1</v>
      </c>
      <c r="M33" s="2"/>
      <c r="N33" s="2"/>
      <c r="O33" s="2"/>
      <c r="P33" s="2"/>
      <c r="Q33" s="2"/>
      <c r="R33" s="2" t="b">
        <f t="shared" si="2"/>
        <v>0</v>
      </c>
      <c r="S33" s="2"/>
      <c r="T33" s="6"/>
      <c r="U33" s="1"/>
    </row>
    <row r="34" spans="4:21" ht="14.25">
      <c r="D34" s="6"/>
      <c r="E34" s="6"/>
      <c r="F34" s="6"/>
      <c r="G34" s="2"/>
      <c r="H34" s="2">
        <f>((H$29/100)*(P$12))+P$7</f>
        <v>6.3768000000000002</v>
      </c>
      <c r="I34" s="2">
        <f>IF(H34&lt;=P$6,H34,0)</f>
        <v>6.3768000000000002</v>
      </c>
      <c r="J34" s="2"/>
      <c r="K34" s="2"/>
      <c r="L34" s="2"/>
      <c r="M34" s="2"/>
      <c r="N34" s="2">
        <f>((N$29/100)*(L$7))+P$8</f>
        <v>8.0435999999999996</v>
      </c>
      <c r="O34" s="2">
        <f>IF(N34&lt;=P$6,N34,0)</f>
        <v>8.0435999999999996</v>
      </c>
      <c r="P34" s="2"/>
      <c r="Q34" s="2"/>
      <c r="R34" s="2" t="b">
        <f t="shared" si="2"/>
        <v>0</v>
      </c>
      <c r="S34" s="2"/>
      <c r="T34" s="6"/>
      <c r="U34" s="1"/>
    </row>
    <row r="35" spans="4:21" ht="14.25">
      <c r="D35" s="6"/>
      <c r="E35" s="6"/>
      <c r="F35" s="6"/>
      <c r="G35" s="2"/>
      <c r="H35" s="2">
        <f>((H$29/100)*(P$12*2))+P$7</f>
        <v>6.7536000000000005</v>
      </c>
      <c r="I35" s="2">
        <f t="shared" si="3" ref="I35:I63">IF(H35&lt;=P$6,H35,0)</f>
        <v>6.7536000000000005</v>
      </c>
      <c r="J35" s="2"/>
      <c r="K35" s="2"/>
      <c r="L35" s="2">
        <f>IF(L19&gt;((P17)/2),2*P17,P17)</f>
        <v>0.94499999999999995</v>
      </c>
      <c r="M35" s="2"/>
      <c r="N35" s="2">
        <f>((N$29/100)*(L$7+(0.942*1)))+P$8</f>
        <v>8.2320000000000011</v>
      </c>
      <c r="O35" s="2">
        <f t="shared" si="4" ref="O35:O63">IF(N35&lt;=P$6,N35,0)</f>
        <v>8.2320000000000011</v>
      </c>
      <c r="P35" s="2"/>
      <c r="Q35" s="2"/>
      <c r="R35" s="2" t="b">
        <f t="shared" si="2"/>
        <v>0</v>
      </c>
      <c r="S35" s="2"/>
      <c r="T35" s="6"/>
      <c r="U35" s="1"/>
    </row>
    <row r="36" spans="4:21" ht="14.25">
      <c r="D36" s="6"/>
      <c r="E36" s="6"/>
      <c r="F36" s="6"/>
      <c r="G36" s="2"/>
      <c r="H36" s="2">
        <f>((H$29/100)*(P$12*3))+P$7</f>
        <v>7.1303999999999998</v>
      </c>
      <c r="I36" s="2">
        <f t="shared" si="3"/>
        <v>7.1303999999999998</v>
      </c>
      <c r="J36" s="2"/>
      <c r="K36" s="2"/>
      <c r="L36" s="2">
        <f>(IF(L14&gt;L15,L14,L15))</f>
        <v>11.529999999999999</v>
      </c>
      <c r="M36" s="2"/>
      <c r="N36" s="2">
        <f>((N$29/100)*(L$7+(0.942*2)))+P$8</f>
        <v>8.4204000000000008</v>
      </c>
      <c r="O36" s="2">
        <f t="shared" si="4"/>
        <v>8.4204000000000008</v>
      </c>
      <c r="P36" s="2"/>
      <c r="Q36" s="2"/>
      <c r="R36" s="2" t="b">
        <f t="shared" si="2"/>
        <v>0</v>
      </c>
      <c r="S36" s="2"/>
      <c r="T36" s="6"/>
      <c r="U36" s="1"/>
    </row>
    <row r="37" spans="4:21" ht="14.25">
      <c r="D37" s="6"/>
      <c r="E37" s="6"/>
      <c r="F37" s="6"/>
      <c r="G37" s="2"/>
      <c r="H37" s="2">
        <f>((H$29/100)*(P$12*4))+P$7</f>
        <v>7.5072000000000001</v>
      </c>
      <c r="I37" s="2">
        <f t="shared" si="3"/>
        <v>7.5072000000000001</v>
      </c>
      <c r="J37" s="2"/>
      <c r="K37" s="2"/>
      <c r="L37" s="2"/>
      <c r="M37" s="2"/>
      <c r="N37" s="2">
        <f>((N$29/100)*(L$7+(0.942*3)))+P$8</f>
        <v>8.6088000000000005</v>
      </c>
      <c r="O37" s="2">
        <f t="shared" si="4"/>
        <v>8.6088000000000005</v>
      </c>
      <c r="P37" s="2"/>
      <c r="Q37" s="2"/>
      <c r="R37" s="2" t="b">
        <f t="shared" si="2"/>
        <v>0</v>
      </c>
      <c r="S37" s="2"/>
      <c r="T37" s="6"/>
      <c r="U37" s="1"/>
    </row>
    <row r="38" spans="4:21" ht="14.25">
      <c r="D38" s="6"/>
      <c r="E38" s="6"/>
      <c r="F38" s="6"/>
      <c r="G38" s="2"/>
      <c r="H38" s="2">
        <f>((H$29/100)*(P$12*5))+P$7</f>
        <v>7.8840000000000003</v>
      </c>
      <c r="I38" s="2">
        <f t="shared" si="3"/>
        <v>7.8840000000000003</v>
      </c>
      <c r="J38" s="2"/>
      <c r="K38" s="2"/>
      <c r="L38" s="2"/>
      <c r="M38" s="2"/>
      <c r="N38" s="2">
        <f>((N$29/100)*(L$7+(0.942*4)))+P$8</f>
        <v>8.7972000000000001</v>
      </c>
      <c r="O38" s="2">
        <f t="shared" si="4"/>
        <v>8.7972000000000001</v>
      </c>
      <c r="P38" s="2"/>
      <c r="Q38" s="2"/>
      <c r="R38" s="2" t="b">
        <f t="shared" si="2"/>
        <v>0</v>
      </c>
      <c r="S38" s="2"/>
      <c r="T38" s="6"/>
      <c r="U38" s="1"/>
    </row>
    <row r="39" spans="4:21" ht="14.25">
      <c r="D39" s="6"/>
      <c r="E39" s="6"/>
      <c r="F39" s="6"/>
      <c r="G39" s="2"/>
      <c r="H39" s="2">
        <f>((H$29/100)*(P$12*6))+P$7</f>
        <v>8.2607999999999997</v>
      </c>
      <c r="I39" s="2">
        <f t="shared" si="3"/>
        <v>8.2607999999999997</v>
      </c>
      <c r="J39" s="2"/>
      <c r="K39" s="2"/>
      <c r="L39" s="2"/>
      <c r="M39" s="2"/>
      <c r="N39" s="2">
        <f>((N$29/100)*(L$7+(0.942*5)))+P$8</f>
        <v>8.9855999999999998</v>
      </c>
      <c r="O39" s="2">
        <f t="shared" si="4"/>
        <v>8.9855999999999998</v>
      </c>
      <c r="P39" s="2"/>
      <c r="Q39" s="2"/>
      <c r="R39" s="2" t="b">
        <f>ISTEXT(P17)</f>
        <v>0</v>
      </c>
      <c r="S39" s="2"/>
      <c r="T39" s="6"/>
      <c r="U39" s="1"/>
    </row>
    <row r="40" spans="4:21" ht="14.25">
      <c r="D40" s="6"/>
      <c r="E40" s="6"/>
      <c r="F40" s="6"/>
      <c r="G40" s="2"/>
      <c r="H40" s="2">
        <f>((H$29/100)*(P$12*7))+P$7</f>
        <v>8.6375999999999991</v>
      </c>
      <c r="I40" s="2">
        <f t="shared" si="3"/>
        <v>8.6375999999999991</v>
      </c>
      <c r="J40" s="2"/>
      <c r="K40" s="2"/>
      <c r="L40" s="2"/>
      <c r="M40" s="2"/>
      <c r="N40" s="2">
        <f>((N$29/100)*(L$7+(0.942*6)))+P$8</f>
        <v>9.1739999999999995</v>
      </c>
      <c r="O40" s="2">
        <f t="shared" si="4"/>
        <v>9.1739999999999995</v>
      </c>
      <c r="P40" s="2"/>
      <c r="Q40" s="2"/>
      <c r="R40" s="2"/>
      <c r="S40" s="2"/>
      <c r="T40" s="6"/>
      <c r="U40" s="1"/>
    </row>
    <row r="41" spans="4:21" ht="14.25">
      <c r="D41" s="6"/>
      <c r="E41" s="6"/>
      <c r="F41" s="6"/>
      <c r="G41" s="2"/>
      <c r="H41" s="2">
        <f>((H$29/100)*(P$12*8))+P$7</f>
        <v>9.0144000000000002</v>
      </c>
      <c r="I41" s="2">
        <f t="shared" si="3"/>
        <v>9.0144000000000002</v>
      </c>
      <c r="J41" s="2"/>
      <c r="K41" s="2"/>
      <c r="L41" s="2"/>
      <c r="M41" s="2"/>
      <c r="N41" s="2">
        <f>((N$29/100)*(L$7+(0.942*7)))+P$8</f>
        <v>9.3624000000000009</v>
      </c>
      <c r="O41" s="2">
        <f t="shared" si="4"/>
        <v>9.3624000000000009</v>
      </c>
      <c r="P41" s="2"/>
      <c r="Q41" s="2"/>
      <c r="R41" s="2"/>
      <c r="S41" s="2"/>
      <c r="T41" s="6"/>
      <c r="U41" s="1"/>
    </row>
    <row r="42" spans="4:21" ht="14.25">
      <c r="D42" s="6"/>
      <c r="E42" s="6"/>
      <c r="F42" s="6"/>
      <c r="G42" s="2"/>
      <c r="H42" s="2">
        <f>((H$29/100)*(P$12*9))+P$7</f>
        <v>9.3911999999999995</v>
      </c>
      <c r="I42" s="2">
        <f t="shared" si="3"/>
        <v>9.3911999999999995</v>
      </c>
      <c r="J42" s="2"/>
      <c r="K42" s="2"/>
      <c r="L42" s="2"/>
      <c r="M42" s="2"/>
      <c r="N42" s="2">
        <f>((N$29/100)*(L$7+(0.942*8)))+P$8</f>
        <v>9.5508000000000006</v>
      </c>
      <c r="O42" s="2">
        <f t="shared" si="4"/>
        <v>9.5508000000000006</v>
      </c>
      <c r="P42" s="2"/>
      <c r="Q42" s="2"/>
      <c r="R42" s="2"/>
      <c r="S42" s="2"/>
      <c r="T42" s="6"/>
      <c r="U42" s="1"/>
    </row>
    <row r="43" spans="4:21" ht="14.25">
      <c r="D43" s="6"/>
      <c r="E43" s="6"/>
      <c r="F43" s="6"/>
      <c r="G43" s="2"/>
      <c r="H43" s="2">
        <f>((H$29/100)*(P$12*10))+P$7</f>
        <v>9.7680000000000007</v>
      </c>
      <c r="I43" s="2">
        <f t="shared" si="3"/>
        <v>9.7680000000000007</v>
      </c>
      <c r="J43" s="2"/>
      <c r="K43" s="2"/>
      <c r="L43" s="2"/>
      <c r="M43" s="2"/>
      <c r="N43" s="2">
        <f>((N$29/100)*(L$7+(0.942*9)))+P$8</f>
        <v>9.7392000000000003</v>
      </c>
      <c r="O43" s="2">
        <f t="shared" si="4"/>
        <v>9.7392000000000003</v>
      </c>
      <c r="P43" s="2"/>
      <c r="Q43" s="2"/>
      <c r="R43" s="2"/>
      <c r="S43" s="2"/>
      <c r="T43" s="6"/>
      <c r="U43" s="1"/>
    </row>
    <row r="44" spans="4:21" ht="14.25">
      <c r="D44" s="6"/>
      <c r="E44" s="6"/>
      <c r="F44" s="6"/>
      <c r="G44" s="2"/>
      <c r="H44" s="2">
        <f>((H$29/100)*(P$12*11))+P$7</f>
        <v>10.1448</v>
      </c>
      <c r="I44" s="2">
        <f t="shared" si="3"/>
        <v>0</v>
      </c>
      <c r="J44" s="2"/>
      <c r="K44" s="2"/>
      <c r="L44" s="2"/>
      <c r="M44" s="2"/>
      <c r="N44" s="2">
        <f>((N$29/100)*(L$7+(0.942*10)))+P$8</f>
        <v>9.9276</v>
      </c>
      <c r="O44" s="2">
        <f t="shared" si="4"/>
        <v>9.9276</v>
      </c>
      <c r="P44" s="2"/>
      <c r="Q44" s="2"/>
      <c r="R44" s="2"/>
      <c r="S44" s="2"/>
      <c r="T44" s="6"/>
      <c r="U44" s="1"/>
    </row>
    <row r="45" spans="4:21" ht="14.25">
      <c r="D45" s="6"/>
      <c r="E45" s="6"/>
      <c r="F45" s="6"/>
      <c r="G45" s="2"/>
      <c r="H45" s="2">
        <f>((H$29/100)*(P$12*12))+P$7</f>
        <v>10.521599999999999</v>
      </c>
      <c r="I45" s="2">
        <f t="shared" si="3"/>
        <v>0</v>
      </c>
      <c r="J45" s="2"/>
      <c r="K45" s="2"/>
      <c r="L45" s="2"/>
      <c r="M45" s="2"/>
      <c r="N45" s="2">
        <f>((N$29/100)*(L$7+(0.942*11)))+P$8</f>
        <v>10.116</v>
      </c>
      <c r="O45" s="2">
        <f t="shared" si="4"/>
        <v>0</v>
      </c>
      <c r="P45" s="2"/>
      <c r="Q45" s="2"/>
      <c r="R45" s="2"/>
      <c r="S45" s="2"/>
      <c r="T45" s="6"/>
      <c r="U45" s="1"/>
    </row>
    <row r="46" spans="4:21" ht="14.25">
      <c r="D46" s="6"/>
      <c r="E46" s="6"/>
      <c r="F46" s="6"/>
      <c r="G46" s="2"/>
      <c r="H46" s="2">
        <f>((H$29/100)*(P$12*13))+P$7</f>
        <v>10.898399999999999</v>
      </c>
      <c r="I46" s="2">
        <f t="shared" si="3"/>
        <v>0</v>
      </c>
      <c r="J46" s="2"/>
      <c r="K46" s="2"/>
      <c r="L46" s="2"/>
      <c r="M46" s="2"/>
      <c r="N46" s="2">
        <f>((N$29/100)*(L$7+(0.942*12)))+P$8</f>
        <v>10.304400000000001</v>
      </c>
      <c r="O46" s="2">
        <f t="shared" si="4"/>
        <v>0</v>
      </c>
      <c r="P46" s="2"/>
      <c r="Q46" s="2"/>
      <c r="R46" s="2"/>
      <c r="S46" s="2"/>
      <c r="T46" s="6"/>
      <c r="U46" s="1"/>
    </row>
    <row r="47" spans="4:21" ht="14.25">
      <c r="D47" s="6"/>
      <c r="E47" s="6"/>
      <c r="F47" s="6"/>
      <c r="G47" s="2"/>
      <c r="H47" s="2">
        <f>((H$29/100)*(P$12*14))+P$7</f>
        <v>11.2752</v>
      </c>
      <c r="I47" s="2">
        <f t="shared" si="3"/>
        <v>0</v>
      </c>
      <c r="J47" s="2"/>
      <c r="K47" s="2"/>
      <c r="L47" s="2"/>
      <c r="M47" s="2"/>
      <c r="N47" s="2">
        <f>((N$29/100)*(L$7+(0.942*13)))+P$8</f>
        <v>10.492800000000001</v>
      </c>
      <c r="O47" s="2">
        <f t="shared" si="4"/>
        <v>0</v>
      </c>
      <c r="P47" s="2"/>
      <c r="Q47" s="2"/>
      <c r="R47" s="2"/>
      <c r="S47" s="2"/>
      <c r="T47" s="6"/>
      <c r="U47" s="1"/>
    </row>
    <row r="48" spans="4:21" ht="14.25">
      <c r="D48" s="6"/>
      <c r="E48" s="6"/>
      <c r="F48" s="6"/>
      <c r="G48" s="2"/>
      <c r="H48" s="2">
        <f>((H$29/100)*(P$12*15))+P$7</f>
        <v>11.652000000000001</v>
      </c>
      <c r="I48" s="2">
        <f t="shared" si="3"/>
        <v>0</v>
      </c>
      <c r="J48" s="2"/>
      <c r="K48" s="2"/>
      <c r="L48" s="2"/>
      <c r="M48" s="2"/>
      <c r="N48" s="2">
        <f>((N$29/100)*(L$7+(0.942*14)))+P$8</f>
        <v>10.6812</v>
      </c>
      <c r="O48" s="2">
        <f t="shared" si="4"/>
        <v>0</v>
      </c>
      <c r="P48" s="2"/>
      <c r="Q48" s="2"/>
      <c r="R48" s="2"/>
      <c r="S48" s="2"/>
      <c r="T48" s="6"/>
      <c r="U48" s="1"/>
    </row>
    <row r="49" spans="4:21" ht="14.25">
      <c r="D49" s="6"/>
      <c r="E49" s="6"/>
      <c r="F49" s="6"/>
      <c r="G49" s="2"/>
      <c r="H49" s="2">
        <f>((H$29/100)*(P$12*16))+P$7</f>
        <v>12.0288</v>
      </c>
      <c r="I49" s="2">
        <f t="shared" si="3"/>
        <v>0</v>
      </c>
      <c r="J49" s="2"/>
      <c r="K49" s="2"/>
      <c r="L49" s="2"/>
      <c r="M49" s="2"/>
      <c r="N49" s="2">
        <f>((N$29/100)*(L$7+(0.942*15)))+P$8</f>
        <v>10.8696</v>
      </c>
      <c r="O49" s="2">
        <f t="shared" si="4"/>
        <v>0</v>
      </c>
      <c r="P49" s="2"/>
      <c r="Q49" s="2"/>
      <c r="R49" s="2"/>
      <c r="S49" s="2"/>
      <c r="T49" s="6"/>
      <c r="U49" s="1"/>
    </row>
    <row r="50" spans="4:21" ht="14.25">
      <c r="D50" s="6"/>
      <c r="E50" s="6"/>
      <c r="F50" s="6"/>
      <c r="G50" s="2"/>
      <c r="H50" s="2">
        <f>((H$29/100)*(P$12*17))+P$7</f>
        <v>12.4056</v>
      </c>
      <c r="I50" s="2">
        <f t="shared" si="3"/>
        <v>0</v>
      </c>
      <c r="J50" s="2"/>
      <c r="K50" s="2"/>
      <c r="L50" s="2"/>
      <c r="M50" s="2"/>
      <c r="N50" s="2">
        <f>((N$29/100)*(L$7+(0.942*16)))+P$8</f>
        <v>11.058</v>
      </c>
      <c r="O50" s="2">
        <f t="shared" si="4"/>
        <v>0</v>
      </c>
      <c r="P50" s="2"/>
      <c r="Q50" s="2"/>
      <c r="R50" s="2"/>
      <c r="S50" s="2"/>
      <c r="T50" s="6"/>
      <c r="U50" s="1"/>
    </row>
    <row r="51" spans="4:21" ht="14.25">
      <c r="D51" s="6"/>
      <c r="E51" s="6"/>
      <c r="F51" s="6"/>
      <c r="G51" s="2"/>
      <c r="H51" s="2">
        <f>((H$29/100)*(P$12*18))+P$7</f>
        <v>12.782399999999999</v>
      </c>
      <c r="I51" s="2">
        <f t="shared" si="3"/>
        <v>0</v>
      </c>
      <c r="J51" s="2"/>
      <c r="K51" s="2"/>
      <c r="L51" s="2"/>
      <c r="M51" s="2"/>
      <c r="N51" s="2">
        <f>((N$29/100)*(L$7+(0.942*17)))+P$8</f>
        <v>11.246400000000001</v>
      </c>
      <c r="O51" s="2">
        <f t="shared" si="4"/>
        <v>0</v>
      </c>
      <c r="P51" s="2"/>
      <c r="Q51" s="2"/>
      <c r="R51" s="2"/>
      <c r="S51" s="2"/>
      <c r="T51" s="6"/>
      <c r="U51" s="1"/>
    </row>
    <row r="52" spans="4:21" ht="14.25">
      <c r="D52" s="6"/>
      <c r="E52" s="6"/>
      <c r="F52" s="6"/>
      <c r="G52" s="2"/>
      <c r="H52" s="2">
        <f>((H$29/100)*(P$12*19))+P$7</f>
        <v>13.1592</v>
      </c>
      <c r="I52" s="2">
        <f t="shared" si="3"/>
        <v>0</v>
      </c>
      <c r="J52" s="2"/>
      <c r="K52" s="2"/>
      <c r="L52" s="2"/>
      <c r="M52" s="2"/>
      <c r="N52" s="2">
        <f>((N$29/100)*(L$7+(0.942*18)))+P$8</f>
        <v>11.434800000000001</v>
      </c>
      <c r="O52" s="2">
        <f t="shared" si="4"/>
        <v>0</v>
      </c>
      <c r="P52" s="2"/>
      <c r="Q52" s="2"/>
      <c r="R52" s="2"/>
      <c r="S52" s="2"/>
      <c r="T52" s="6"/>
      <c r="U52" s="1"/>
    </row>
    <row r="53" spans="4:21" ht="14.25">
      <c r="D53" s="6"/>
      <c r="E53" s="6"/>
      <c r="F53" s="6"/>
      <c r="G53" s="2"/>
      <c r="H53" s="2">
        <f>((H$29/100)*(P$12*20))+P$7</f>
        <v>13.536000000000001</v>
      </c>
      <c r="I53" s="2">
        <f t="shared" si="3"/>
        <v>0</v>
      </c>
      <c r="J53" s="2"/>
      <c r="K53" s="2"/>
      <c r="L53" s="2"/>
      <c r="M53" s="2"/>
      <c r="N53" s="2">
        <f>((N$29/100)*(L$7+(0.942*19)))+P$8</f>
        <v>11.623200000000001</v>
      </c>
      <c r="O53" s="2">
        <f t="shared" si="4"/>
        <v>0</v>
      </c>
      <c r="P53" s="2"/>
      <c r="Q53" s="2"/>
      <c r="R53" s="2"/>
      <c r="S53" s="2"/>
      <c r="T53" s="6"/>
      <c r="U53" s="1"/>
    </row>
    <row r="54" spans="4:21" ht="14.25">
      <c r="D54" s="6"/>
      <c r="E54" s="6"/>
      <c r="F54" s="6"/>
      <c r="G54" s="2"/>
      <c r="H54" s="2">
        <f>((H$29/100)*(P$12*21))+P$7</f>
        <v>13.912800000000001</v>
      </c>
      <c r="I54" s="2">
        <f t="shared" si="3"/>
        <v>0</v>
      </c>
      <c r="J54" s="2"/>
      <c r="K54" s="2"/>
      <c r="L54" s="2"/>
      <c r="M54" s="2"/>
      <c r="N54" s="2">
        <f>((N$29/100)*(L$7+(0.942*20)))+P$8</f>
        <v>11.8116</v>
      </c>
      <c r="O54" s="2">
        <f t="shared" si="4"/>
        <v>0</v>
      </c>
      <c r="P54" s="2"/>
      <c r="Q54" s="2"/>
      <c r="R54" s="2"/>
      <c r="S54" s="2"/>
      <c r="T54" s="6"/>
      <c r="U54" s="1"/>
    </row>
    <row r="55" spans="4:21" ht="14.25">
      <c r="D55" s="6"/>
      <c r="E55" s="6"/>
      <c r="F55" s="6"/>
      <c r="G55" s="2"/>
      <c r="H55" s="2">
        <f>((H$29/100)*(P$12*22))+P$7</f>
        <v>14.2896</v>
      </c>
      <c r="I55" s="2">
        <f t="shared" si="3"/>
        <v>0</v>
      </c>
      <c r="J55" s="2"/>
      <c r="K55" s="2"/>
      <c r="L55" s="2"/>
      <c r="M55" s="2"/>
      <c r="N55" s="2">
        <f>((N$29/100)*(L$7+(0.942*21)))+P$8</f>
        <v>12</v>
      </c>
      <c r="O55" s="2">
        <f t="shared" si="4"/>
        <v>0</v>
      </c>
      <c r="P55" s="2"/>
      <c r="Q55" s="2"/>
      <c r="R55" s="2"/>
      <c r="S55" s="2"/>
      <c r="T55" s="6"/>
      <c r="U55" s="1"/>
    </row>
    <row r="56" spans="4:21" ht="14.25">
      <c r="D56" s="6"/>
      <c r="E56" s="6"/>
      <c r="F56" s="6"/>
      <c r="G56" s="2"/>
      <c r="H56" s="2">
        <f>((H$29/100)*(P$12*23))+P$7</f>
        <v>14.666400000000001</v>
      </c>
      <c r="I56" s="2">
        <f t="shared" si="3"/>
        <v>0</v>
      </c>
      <c r="J56" s="2"/>
      <c r="K56" s="2"/>
      <c r="L56" s="2"/>
      <c r="M56" s="2"/>
      <c r="N56" s="2">
        <f>((N$29/100)*(L$7+(0.942*22)))+P$8</f>
        <v>12.188400000000001</v>
      </c>
      <c r="O56" s="2">
        <f t="shared" si="4"/>
        <v>0</v>
      </c>
      <c r="P56" s="2"/>
      <c r="Q56" s="2"/>
      <c r="R56" s="2"/>
      <c r="S56" s="2"/>
      <c r="T56" s="6"/>
      <c r="U56" s="1"/>
    </row>
    <row r="57" spans="4:21" ht="14.25">
      <c r="D57" s="6"/>
      <c r="E57" s="6"/>
      <c r="F57" s="6"/>
      <c r="G57" s="2"/>
      <c r="H57" s="2">
        <f>((H$29/100)*(P$12*24))+P$7</f>
        <v>15.043199999999999</v>
      </c>
      <c r="I57" s="2">
        <f t="shared" si="3"/>
        <v>0</v>
      </c>
      <c r="J57" s="2"/>
      <c r="K57" s="2"/>
      <c r="L57" s="2"/>
      <c r="M57" s="2"/>
      <c r="N57" s="2">
        <f>((N$29/100)*(L$7+(0.942*23)))+P$8</f>
        <v>12.376800000000001</v>
      </c>
      <c r="O57" s="2">
        <f t="shared" si="4"/>
        <v>0</v>
      </c>
      <c r="P57" s="2"/>
      <c r="Q57" s="2"/>
      <c r="R57" s="2"/>
      <c r="S57" s="2"/>
      <c r="T57" s="6"/>
      <c r="U57" s="1"/>
    </row>
    <row r="58" spans="4:21" ht="14.25">
      <c r="D58" s="6"/>
      <c r="E58" s="6"/>
      <c r="F58" s="6"/>
      <c r="G58" s="2"/>
      <c r="H58" s="2">
        <f>((H$29/100)*(P$12*25))+P$7</f>
        <v>15.42</v>
      </c>
      <c r="I58" s="2">
        <f t="shared" si="3"/>
        <v>0</v>
      </c>
      <c r="J58" s="2"/>
      <c r="K58" s="2"/>
      <c r="L58" s="2"/>
      <c r="M58" s="2"/>
      <c r="N58" s="2">
        <f>((N$29/100)*(L$7+(0.942*24)))+P$8</f>
        <v>12.565200000000001</v>
      </c>
      <c r="O58" s="2">
        <f t="shared" si="4"/>
        <v>0</v>
      </c>
      <c r="P58" s="2"/>
      <c r="Q58" s="2"/>
      <c r="R58" s="2"/>
      <c r="S58" s="2"/>
      <c r="T58" s="6"/>
      <c r="U58" s="1"/>
    </row>
    <row r="59" spans="4:21" ht="14.25">
      <c r="D59" s="6"/>
      <c r="E59" s="6"/>
      <c r="F59" s="6"/>
      <c r="G59" s="2"/>
      <c r="H59" s="2">
        <f>((H$29/100)*(P$12*26))+P$7</f>
        <v>15.796799999999999</v>
      </c>
      <c r="I59" s="2">
        <f t="shared" si="3"/>
        <v>0</v>
      </c>
      <c r="J59" s="2"/>
      <c r="K59" s="2"/>
      <c r="L59" s="2"/>
      <c r="M59" s="2"/>
      <c r="N59" s="2">
        <f>((N$29/100)*(L$7+(0.942*25)))+P$8</f>
        <v>12.7536</v>
      </c>
      <c r="O59" s="2">
        <f t="shared" si="4"/>
        <v>0</v>
      </c>
      <c r="P59" s="2"/>
      <c r="Q59" s="2"/>
      <c r="R59" s="2"/>
      <c r="S59" s="2"/>
      <c r="T59" s="6"/>
      <c r="U59" s="1"/>
    </row>
    <row r="60" spans="4:21" ht="14.25">
      <c r="D60" s="6"/>
      <c r="E60" s="6"/>
      <c r="F60" s="6"/>
      <c r="G60" s="2"/>
      <c r="H60" s="2">
        <f>((H$29/100)*(P$12*27))+P$7</f>
        <v>16.1736</v>
      </c>
      <c r="I60" s="2">
        <f t="shared" si="3"/>
        <v>0</v>
      </c>
      <c r="J60" s="2"/>
      <c r="K60" s="2"/>
      <c r="L60" s="2"/>
      <c r="M60" s="2"/>
      <c r="N60" s="2">
        <f>((N$29/100)*(L$7+(0.942*26)))+P$8</f>
        <v>12.942</v>
      </c>
      <c r="O60" s="2">
        <f t="shared" si="4"/>
        <v>0</v>
      </c>
      <c r="P60" s="2"/>
      <c r="Q60" s="2"/>
      <c r="R60" s="2"/>
      <c r="S60" s="2"/>
      <c r="T60" s="6"/>
      <c r="U60" s="1"/>
    </row>
    <row r="61" spans="4:21" ht="14.25">
      <c r="D61" s="6"/>
      <c r="E61" s="6"/>
      <c r="F61" s="6"/>
      <c r="G61" s="2"/>
      <c r="H61" s="2">
        <f>((H$29/100)*(P$12*28))+P$7</f>
        <v>16.5504</v>
      </c>
      <c r="I61" s="2">
        <f t="shared" si="3"/>
        <v>0</v>
      </c>
      <c r="J61" s="2"/>
      <c r="K61" s="2"/>
      <c r="L61" s="2"/>
      <c r="M61" s="2"/>
      <c r="N61" s="2">
        <f>((N$29/100)*(L$7+(0.942*27)))+P$8</f>
        <v>13.130400000000002</v>
      </c>
      <c r="O61" s="2">
        <f t="shared" si="4"/>
        <v>0</v>
      </c>
      <c r="P61" s="2"/>
      <c r="Q61" s="2"/>
      <c r="R61" s="2"/>
      <c r="S61" s="2"/>
      <c r="T61" s="6"/>
      <c r="U61" s="1"/>
    </row>
    <row r="62" spans="4:20" ht="14.25">
      <c r="D62" s="6"/>
      <c r="E62" s="6"/>
      <c r="F62" s="6"/>
      <c r="G62" s="6"/>
      <c r="H62" s="2">
        <f>((H$29/100)*(P$12*29))+P$7</f>
        <v>16.927199999999999</v>
      </c>
      <c r="I62" s="2">
        <f t="shared" si="3"/>
        <v>0</v>
      </c>
      <c r="J62" s="6"/>
      <c r="K62" s="6"/>
      <c r="L62" s="6"/>
      <c r="M62" s="6"/>
      <c r="N62" s="2">
        <f>((N$29/100)*(L$7+(0.942*28)))+P$8</f>
        <v>13.3188</v>
      </c>
      <c r="O62" s="2">
        <f t="shared" si="4"/>
        <v>0</v>
      </c>
      <c r="P62" s="6"/>
      <c r="Q62" s="6"/>
      <c r="R62" s="6"/>
      <c r="S62" s="6"/>
      <c r="T62" s="6"/>
    </row>
    <row r="63" spans="4:20" ht="14.25">
      <c r="D63" s="6"/>
      <c r="E63" s="6"/>
      <c r="F63" s="6"/>
      <c r="G63" s="6"/>
      <c r="H63" s="2">
        <f>((H$29/100)*(P$12*30))+P$7</f>
        <v>17.304000000000002</v>
      </c>
      <c r="I63" s="2">
        <f t="shared" si="3"/>
        <v>0</v>
      </c>
      <c r="J63" s="6"/>
      <c r="K63" s="6"/>
      <c r="L63" s="6"/>
      <c r="M63" s="6"/>
      <c r="N63" s="2">
        <f>((N$29/100)*(L$7+(0.942*29)))+P$8</f>
        <v>13.507200000000001</v>
      </c>
      <c r="O63" s="2">
        <f t="shared" si="4"/>
        <v>0</v>
      </c>
      <c r="P63" s="6"/>
      <c r="Q63" s="6"/>
      <c r="R63" s="6"/>
      <c r="S63" s="6"/>
      <c r="T63" s="6"/>
    </row>
    <row r="64" spans="4:20" ht="14.25">
      <c r="D64" s="6"/>
      <c r="E64" s="6"/>
      <c r="F64" s="6"/>
      <c r="G64" s="6"/>
      <c r="H64" s="6"/>
      <c r="I64" s="6"/>
      <c r="J64" s="6"/>
      <c r="K64" s="6"/>
      <c r="L64" s="6"/>
      <c r="M64" s="6"/>
      <c r="N64" s="6"/>
      <c r="O64" s="6"/>
      <c r="P64" s="6"/>
      <c r="Q64" s="6"/>
      <c r="R64" s="6"/>
      <c r="S64" s="6"/>
      <c r="T64" s="6"/>
    </row>
    <row r="65" spans="4:20" ht="14.25">
      <c r="D65" s="6"/>
      <c r="E65" s="6"/>
      <c r="F65" s="6"/>
      <c r="G65" s="6"/>
      <c r="H65" s="6"/>
      <c r="I65" s="2">
        <f>SUM(I34:I63)</f>
        <v>80.724000000000004</v>
      </c>
      <c r="J65" s="6"/>
      <c r="K65" s="6"/>
      <c r="L65" s="6">
        <f>P6</f>
        <v>10</v>
      </c>
      <c r="M65" s="6"/>
      <c r="N65" s="6"/>
      <c r="O65" s="2">
        <f>SUM(O34:O63)</f>
        <v>98.841599999999985</v>
      </c>
      <c r="P65" s="6"/>
      <c r="Q65" s="6"/>
      <c r="R65" s="6"/>
      <c r="S65" s="6"/>
      <c r="T65" s="6"/>
    </row>
    <row r="66" spans="4:20" ht="14.25">
      <c r="D66" s="6"/>
      <c r="E66" s="6"/>
      <c r="F66" s="6"/>
      <c r="G66" s="6"/>
      <c r="H66" s="6"/>
      <c r="I66" s="6"/>
      <c r="J66" s="6"/>
      <c r="K66" s="6"/>
      <c r="L66" s="6"/>
      <c r="M66" s="6"/>
      <c r="N66" s="6"/>
      <c r="O66" s="6"/>
      <c r="P66" s="6"/>
      <c r="Q66" s="6"/>
      <c r="R66" s="6"/>
      <c r="S66" s="6"/>
      <c r="T66" s="6"/>
    </row>
    <row r="67" spans="4:20" ht="14.25">
      <c r="D67" s="6"/>
      <c r="E67" s="6"/>
      <c r="F67" s="6"/>
      <c r="G67" s="6"/>
      <c r="H67" s="6"/>
      <c r="I67" s="6"/>
      <c r="J67" s="6"/>
      <c r="K67" s="6"/>
      <c r="L67" s="6">
        <f>(I65+L65+O65)*P12</f>
        <v>178.57079519999999</v>
      </c>
      <c r="M67" s="6"/>
      <c r="N67" s="6"/>
      <c r="O67" s="6"/>
      <c r="P67" s="6"/>
      <c r="Q67" s="6"/>
      <c r="R67" s="6"/>
      <c r="S67" s="6"/>
      <c r="T67" s="6"/>
    </row>
    <row r="68" spans="4:20" ht="14.25">
      <c r="D68" s="6"/>
      <c r="E68" s="6"/>
      <c r="F68" s="6"/>
      <c r="G68" s="6"/>
      <c r="H68" s="6"/>
      <c r="I68" s="6"/>
      <c r="J68" s="6"/>
      <c r="K68" s="6"/>
      <c r="L68" s="6"/>
      <c r="M68" s="6"/>
      <c r="N68" s="6"/>
      <c r="O68" s="6"/>
      <c r="P68" s="6"/>
      <c r="Q68" s="6"/>
      <c r="R68" s="6"/>
      <c r="S68" s="6"/>
      <c r="T68" s="6"/>
    </row>
    <row r="69" spans="4:20" ht="14.25">
      <c r="D69" s="6"/>
      <c r="E69" s="6"/>
      <c r="F69" s="6"/>
      <c r="G69" s="6"/>
      <c r="H69" s="6"/>
      <c r="I69" s="6"/>
      <c r="J69" s="6"/>
      <c r="K69" s="6"/>
      <c r="L69" s="6"/>
      <c r="M69" s="6"/>
      <c r="N69" s="6"/>
      <c r="O69" s="6"/>
      <c r="P69" s="6"/>
      <c r="Q69" s="6"/>
      <c r="R69" s="6"/>
      <c r="S69" s="6"/>
      <c r="T69" s="6"/>
    </row>
    <row r="70" spans="4:20" ht="14.25">
      <c r="D70" s="6"/>
      <c r="E70" s="6"/>
      <c r="F70" s="6"/>
      <c r="G70" s="6"/>
      <c r="H70" s="6"/>
      <c r="I70" s="6"/>
      <c r="J70" s="6"/>
      <c r="K70" s="6"/>
      <c r="L70" s="6"/>
      <c r="M70" s="6"/>
      <c r="N70" s="6"/>
      <c r="O70" s="6"/>
      <c r="P70" s="6"/>
      <c r="Q70" s="6"/>
      <c r="R70" s="6"/>
      <c r="S70" s="6"/>
      <c r="T70" s="6"/>
    </row>
    <row r="71" spans="4:20" ht="14.25">
      <c r="D71" s="6"/>
      <c r="E71" s="6"/>
      <c r="F71" s="6"/>
      <c r="G71" s="6"/>
      <c r="H71" s="6"/>
      <c r="I71" s="6"/>
      <c r="J71" s="6"/>
      <c r="K71" s="6"/>
      <c r="L71" s="6"/>
      <c r="M71" s="6"/>
      <c r="N71" s="6"/>
      <c r="O71" s="6"/>
      <c r="P71" s="6"/>
      <c r="Q71" s="6"/>
      <c r="R71" s="6"/>
      <c r="S71" s="6"/>
      <c r="T71" s="6"/>
    </row>
    <row r="72" spans="4:20" ht="14.25">
      <c r="D72" s="6"/>
      <c r="E72" s="6"/>
      <c r="F72" s="6"/>
      <c r="G72" s="6"/>
      <c r="H72" s="6"/>
      <c r="I72" s="6"/>
      <c r="J72" s="6"/>
      <c r="K72" s="6"/>
      <c r="L72" s="6"/>
      <c r="M72" s="6"/>
      <c r="N72" s="6"/>
      <c r="O72" s="6"/>
      <c r="P72" s="6"/>
      <c r="Q72" s="6"/>
      <c r="R72" s="6"/>
      <c r="S72" s="6"/>
      <c r="T72" s="6"/>
    </row>
    <row r="73" spans="4:20" ht="14.25">
      <c r="D73" s="6"/>
      <c r="E73" s="6"/>
      <c r="F73" s="6"/>
      <c r="G73" s="6"/>
      <c r="H73" s="6"/>
      <c r="I73" s="6"/>
      <c r="J73" s="6"/>
      <c r="K73" s="6"/>
      <c r="L73" s="6"/>
      <c r="M73" s="6"/>
      <c r="N73" s="6"/>
      <c r="O73" s="6"/>
      <c r="P73" s="6"/>
      <c r="Q73" s="6"/>
      <c r="R73" s="6"/>
      <c r="S73" s="6"/>
      <c r="T73" s="6"/>
    </row>
    <row r="74" spans="4:20" ht="14.25">
      <c r="D74" s="6"/>
      <c r="E74" s="6"/>
      <c r="F74" s="6"/>
      <c r="G74" s="6"/>
      <c r="H74" s="6"/>
      <c r="I74" s="6"/>
      <c r="J74" s="6"/>
      <c r="K74" s="6"/>
      <c r="L74" s="6"/>
      <c r="M74" s="6"/>
      <c r="N74" s="6"/>
      <c r="O74" s="6"/>
      <c r="P74" s="6"/>
      <c r="Q74" s="6"/>
      <c r="R74" s="6"/>
      <c r="S74" s="6"/>
      <c r="T74" s="6"/>
    </row>
    <row r="75" spans="4:20" ht="14.25">
      <c r="D75" s="6"/>
      <c r="E75" s="6"/>
      <c r="F75" s="6"/>
      <c r="G75" s="6"/>
      <c r="H75" s="6"/>
      <c r="I75" s="6"/>
      <c r="J75" s="6"/>
      <c r="K75" s="6"/>
      <c r="L75" s="6"/>
      <c r="M75" s="6"/>
      <c r="N75" s="6"/>
      <c r="O75" s="6"/>
      <c r="P75" s="6"/>
      <c r="Q75" s="6"/>
      <c r="R75" s="6"/>
      <c r="S75" s="6"/>
      <c r="T75" s="6"/>
    </row>
    <row r="76" spans="4:20" ht="14.25">
      <c r="D76" s="6"/>
      <c r="E76" s="6"/>
      <c r="F76" s="6"/>
      <c r="G76" s="6"/>
      <c r="H76" s="6"/>
      <c r="I76" s="6"/>
      <c r="J76" s="6"/>
      <c r="K76" s="6"/>
      <c r="L76" s="6"/>
      <c r="M76" s="6"/>
      <c r="N76" s="6"/>
      <c r="O76" s="6"/>
      <c r="P76" s="6"/>
      <c r="Q76" s="6"/>
      <c r="R76" s="6"/>
      <c r="S76" s="6"/>
      <c r="T76" s="6"/>
    </row>
    <row r="77" spans="4:20" ht="14.25">
      <c r="D77" s="6"/>
      <c r="E77" s="6"/>
      <c r="F77" s="6"/>
      <c r="G77" s="6"/>
      <c r="H77" s="6"/>
      <c r="I77" s="6"/>
      <c r="J77" s="6"/>
      <c r="K77" s="6"/>
      <c r="L77" s="6"/>
      <c r="M77" s="6"/>
      <c r="N77" s="6"/>
      <c r="O77" s="6"/>
      <c r="P77" s="6"/>
      <c r="Q77" s="6"/>
      <c r="R77" s="6"/>
      <c r="S77" s="6"/>
      <c r="T77" s="6"/>
    </row>
    <row r="78" spans="4:20" ht="14.25">
      <c r="D78" s="6"/>
      <c r="E78" s="6"/>
      <c r="F78" s="6"/>
      <c r="G78" s="6"/>
      <c r="H78" s="6"/>
      <c r="I78" s="6"/>
      <c r="J78" s="6"/>
      <c r="K78" s="6"/>
      <c r="L78" s="6"/>
      <c r="M78" s="6"/>
      <c r="N78" s="6"/>
      <c r="O78" s="6"/>
      <c r="P78" s="6"/>
      <c r="Q78" s="6"/>
      <c r="R78" s="6"/>
      <c r="S78" s="6"/>
      <c r="T78" s="6"/>
    </row>
    <row r="79" spans="4:20" ht="14.25">
      <c r="D79" s="6"/>
      <c r="E79" s="6"/>
      <c r="F79" s="6"/>
      <c r="G79" s="6"/>
      <c r="H79" s="6"/>
      <c r="I79" s="6"/>
      <c r="J79" s="6"/>
      <c r="K79" s="6"/>
      <c r="L79" s="6"/>
      <c r="M79" s="6"/>
      <c r="N79" s="6"/>
      <c r="O79" s="6"/>
      <c r="P79" s="6"/>
      <c r="Q79" s="6"/>
      <c r="R79" s="6"/>
      <c r="S79" s="6"/>
      <c r="T79" s="6"/>
    </row>
    <row r="80" spans="4:20" ht="14.25">
      <c r="D80" s="6"/>
      <c r="E80" s="6"/>
      <c r="F80" s="6"/>
      <c r="G80" s="6"/>
      <c r="H80" s="6"/>
      <c r="I80" s="6"/>
      <c r="J80" s="6"/>
      <c r="K80" s="6"/>
      <c r="L80" s="6"/>
      <c r="M80" s="6"/>
      <c r="N80" s="6"/>
      <c r="O80" s="6"/>
      <c r="P80" s="6"/>
      <c r="Q80" s="6"/>
      <c r="R80" s="6"/>
      <c r="S80" s="6"/>
      <c r="T80" s="6"/>
    </row>
    <row r="81" spans="4:20" ht="14.25">
      <c r="D81" s="6">
        <f>IF((I34+((H29/100)*D31))=P6,P6,I34)</f>
        <v>6.3768000000000002</v>
      </c>
      <c r="E81" s="6">
        <f>IF(($I34+(($H29/100)*$D31))=$P6,$P6,$I35)</f>
        <v>6.7536000000000005</v>
      </c>
      <c r="F81" s="6">
        <f>IF(($I35+(($H29/100)*$D31))=$P6,$P6,$I36)</f>
        <v>7.1303999999999998</v>
      </c>
      <c r="G81" s="6">
        <f>IF(($I36+(($H29/100)*$D31))=$P6,$P6,$I37)</f>
        <v>7.5072000000000001</v>
      </c>
      <c r="H81" s="6">
        <f>IF(($I37+(($H29/100)*$D31))=$P6,$P6,$I38)</f>
        <v>7.8840000000000003</v>
      </c>
      <c r="I81" s="6">
        <f>IF(($I38+(($H29/100)*$D31))=$P6,$P6,$I39)</f>
        <v>8.2607999999999997</v>
      </c>
      <c r="J81" s="6">
        <f>IF(($I39+(($H29/100)*$D31))=$P6,$P6,$I40)</f>
        <v>8.6375999999999991</v>
      </c>
      <c r="K81" s="6">
        <f>IF(($I40+(($H29/100)*$D31))=$P6,$P6,$I41)</f>
        <v>9.0144000000000002</v>
      </c>
      <c r="L81" s="6">
        <f>IF(($I41+(($H29/100)*$D31))=$P6,$P6,$I42)</f>
        <v>9.3911999999999995</v>
      </c>
      <c r="M81" s="6">
        <f>IF(($I42+(($H29/100)*$D31))=$P6,$P6,$I43)</f>
        <v>9.7680000000000007</v>
      </c>
      <c r="N81" s="6">
        <f>IF(($I43+(($H29/100)*$D31))=$P6,$P6,$I44)</f>
        <v>10</v>
      </c>
      <c r="O81" s="6">
        <f>IF(($I44+(($H29/100)*$D31))=$P6,$P6,$I45)</f>
        <v>0</v>
      </c>
      <c r="P81" s="6">
        <f>IF(($I45+(($H29/100)*$D31))=$P6,$P6,$I46)</f>
        <v>0</v>
      </c>
      <c r="Q81" s="6">
        <f>IF(($I46+(($H29/100)*$D31))=$P6,$P6,$I47)</f>
        <v>0</v>
      </c>
      <c r="R81" s="6">
        <f>IF(($I47+(($H29/100)*$D31))=$P6,$P6,$I48)</f>
        <v>0</v>
      </c>
      <c r="S81" s="6">
        <f>IF(($I48+(($H29/100)*$D31))=$P6,$P6,$I49)</f>
        <v>0</v>
      </c>
      <c r="T81" s="6">
        <f>IF(($I49+(($H29/100)*$D31))=$P6,$P6,$I50)</f>
        <v>0</v>
      </c>
    </row>
    <row r="82" spans="4:20" ht="14.25">
      <c r="D82" s="6">
        <f>O50</f>
        <v>0</v>
      </c>
      <c r="E82" s="6">
        <f>O49</f>
        <v>0</v>
      </c>
      <c r="F82" s="6">
        <f>O48</f>
        <v>0</v>
      </c>
      <c r="G82" s="6">
        <f>O47</f>
        <v>0</v>
      </c>
      <c r="H82" s="6">
        <f>O46</f>
        <v>0</v>
      </c>
      <c r="I82" s="6">
        <f>O45</f>
        <v>0</v>
      </c>
      <c r="J82" s="6">
        <f>O44</f>
        <v>9.9276</v>
      </c>
      <c r="K82" s="6">
        <f>O43</f>
        <v>9.7392000000000003</v>
      </c>
      <c r="L82" s="6">
        <f>O42</f>
        <v>9.5508000000000006</v>
      </c>
      <c r="M82" s="6">
        <f>O41</f>
        <v>9.3624000000000009</v>
      </c>
      <c r="N82" s="6">
        <f>O40</f>
        <v>9.1739999999999995</v>
      </c>
      <c r="O82" s="6">
        <f>O39</f>
        <v>8.9855999999999998</v>
      </c>
      <c r="P82" s="6">
        <f>O38</f>
        <v>8.7972000000000001</v>
      </c>
      <c r="Q82" s="6">
        <f>O37</f>
        <v>8.6088000000000005</v>
      </c>
      <c r="R82" s="6">
        <f>O36</f>
        <v>8.4204000000000008</v>
      </c>
      <c r="S82" s="6">
        <f>O35</f>
        <v>8.2320000000000011</v>
      </c>
      <c r="T82" s="6">
        <f>O34</f>
        <v>8.0435999999999996</v>
      </c>
    </row>
    <row r="83" spans="4:20" ht="14.25">
      <c r="D83" s="6"/>
      <c r="E83" s="6"/>
      <c r="F83" s="6"/>
      <c r="G83" s="6"/>
      <c r="H83" s="6"/>
      <c r="I83" s="6"/>
      <c r="J83" s="6"/>
      <c r="K83" s="6"/>
      <c r="L83" s="6"/>
      <c r="M83" s="6"/>
      <c r="N83" s="6"/>
      <c r="O83" s="6"/>
      <c r="P83" s="6"/>
      <c r="Q83" s="6"/>
      <c r="R83" s="6"/>
      <c r="S83" s="6"/>
      <c r="T83" s="6"/>
    </row>
    <row r="84" spans="4:20" ht="14.25">
      <c r="D84" s="6"/>
      <c r="E84" s="6"/>
      <c r="F84" s="6"/>
      <c r="G84" s="6"/>
      <c r="H84" s="6"/>
      <c r="I84" s="6"/>
      <c r="J84" s="6"/>
      <c r="K84" s="6"/>
      <c r="L84" s="6"/>
      <c r="M84" s="6"/>
      <c r="N84" s="6"/>
      <c r="O84" s="6"/>
      <c r="P84" s="6"/>
      <c r="Q84" s="6"/>
      <c r="R84" s="6"/>
      <c r="S84" s="6"/>
      <c r="T84" s="6"/>
    </row>
    <row r="85" spans="4:20" ht="14.25">
      <c r="D85" s="6"/>
      <c r="E85" s="6"/>
      <c r="F85" s="6"/>
      <c r="G85" s="6"/>
      <c r="H85" s="6"/>
      <c r="I85" s="6"/>
      <c r="J85" s="6"/>
      <c r="K85" s="6"/>
      <c r="L85" s="6"/>
      <c r="M85" s="6"/>
      <c r="N85" s="6"/>
      <c r="O85" s="6"/>
      <c r="P85" s="6"/>
      <c r="Q85" s="6"/>
      <c r="R85" s="6"/>
      <c r="S85" s="6"/>
      <c r="T85" s="6"/>
    </row>
    <row r="86" spans="4:20" ht="14.25">
      <c r="D86" s="6">
        <f>ROUND(D81,2)</f>
        <v>6.3799999999999999</v>
      </c>
      <c r="E86" s="6">
        <f t="shared" si="5" ref="E86:T86">ROUND(E81,2)</f>
        <v>6.75</v>
      </c>
      <c r="F86" s="6">
        <f t="shared" si="5"/>
        <v>7.1299999999999999</v>
      </c>
      <c r="G86" s="6">
        <f t="shared" si="5"/>
        <v>7.5099999999999998</v>
      </c>
      <c r="H86" s="6">
        <f t="shared" si="5"/>
        <v>7.8799999999999999</v>
      </c>
      <c r="I86" s="6">
        <f t="shared" si="5"/>
        <v>8.2599999999999998</v>
      </c>
      <c r="J86" s="6">
        <f t="shared" si="5"/>
        <v>8.6400000000000006</v>
      </c>
      <c r="K86" s="6">
        <f t="shared" si="5"/>
        <v>9.0099999999999998</v>
      </c>
      <c r="L86" s="6">
        <f t="shared" si="5"/>
        <v>9.3900000000000006</v>
      </c>
      <c r="M86" s="6">
        <f t="shared" si="5"/>
        <v>9.7699999999999996</v>
      </c>
      <c r="N86" s="6">
        <f t="shared" si="5"/>
        <v>10</v>
      </c>
      <c r="O86" s="6">
        <f t="shared" si="5"/>
        <v>0</v>
      </c>
      <c r="P86" s="6">
        <f t="shared" si="5"/>
        <v>0</v>
      </c>
      <c r="Q86" s="6">
        <f t="shared" si="5"/>
        <v>0</v>
      </c>
      <c r="R86" s="6">
        <f t="shared" si="5"/>
        <v>0</v>
      </c>
      <c r="S86" s="6">
        <f t="shared" si="5"/>
        <v>0</v>
      </c>
      <c r="T86" s="6">
        <f t="shared" si="5"/>
        <v>0</v>
      </c>
    </row>
    <row r="87" spans="4:20" ht="14.25">
      <c r="D87" s="6">
        <f t="shared" si="6" ref="D87:S87">ROUND(D82,2)</f>
        <v>0</v>
      </c>
      <c r="E87" s="6">
        <f t="shared" si="6"/>
        <v>0</v>
      </c>
      <c r="F87" s="6">
        <f t="shared" si="6"/>
        <v>0</v>
      </c>
      <c r="G87" s="6">
        <f t="shared" si="6"/>
        <v>0</v>
      </c>
      <c r="H87" s="6">
        <f t="shared" si="6"/>
        <v>0</v>
      </c>
      <c r="I87" s="6">
        <f t="shared" si="6"/>
        <v>0</v>
      </c>
      <c r="J87" s="6">
        <f t="shared" si="6"/>
        <v>9.9299999999999997</v>
      </c>
      <c r="K87" s="6">
        <f t="shared" si="6"/>
        <v>9.7400000000000002</v>
      </c>
      <c r="L87" s="6">
        <f t="shared" si="6"/>
        <v>9.5500000000000007</v>
      </c>
      <c r="M87" s="6">
        <f t="shared" si="6"/>
        <v>9.3599999999999994</v>
      </c>
      <c r="N87" s="6">
        <f t="shared" si="6"/>
        <v>9.1699999999999999</v>
      </c>
      <c r="O87" s="6">
        <f t="shared" si="6"/>
        <v>8.9900000000000002</v>
      </c>
      <c r="P87" s="6">
        <f t="shared" si="6"/>
        <v>8.8000000000000007</v>
      </c>
      <c r="Q87" s="6">
        <f t="shared" si="6"/>
        <v>8.6099999999999994</v>
      </c>
      <c r="R87" s="6">
        <f t="shared" si="6"/>
        <v>8.4199999999999999</v>
      </c>
      <c r="S87" s="6">
        <f t="shared" si="6"/>
        <v>8.2300000000000004</v>
      </c>
      <c r="T87" s="6">
        <f>ROUND(T82,2)</f>
        <v>8.0399999999999991</v>
      </c>
    </row>
  </sheetData>
  <sheetProtection password="9AF5" sheet="1" objects="1" scenarios="1" selectLockedCells="1"/>
  <mergeCells count="39">
    <mergeCell ref="B23:T23"/>
    <mergeCell ref="V4:Y5"/>
    <mergeCell ref="L3:M3"/>
    <mergeCell ref="O3:T4"/>
    <mergeCell ref="L4:N4"/>
    <mergeCell ref="L5:O5"/>
    <mergeCell ref="M7:O7"/>
    <mergeCell ref="Q7:S7"/>
    <mergeCell ref="P19:S20"/>
    <mergeCell ref="M18:O18"/>
    <mergeCell ref="M17:O17"/>
    <mergeCell ref="Q10:S10"/>
    <mergeCell ref="Q11:S11"/>
    <mergeCell ref="Q17:S17"/>
    <mergeCell ref="Q16:S16"/>
    <mergeCell ref="Q13:S13"/>
    <mergeCell ref="B22:C22"/>
    <mergeCell ref="T5:T20"/>
    <mergeCell ref="P5:S5"/>
    <mergeCell ref="P18:S18"/>
    <mergeCell ref="M13:O13"/>
    <mergeCell ref="M14:O14"/>
    <mergeCell ref="M19:O19"/>
    <mergeCell ref="M20:O20"/>
    <mergeCell ref="Q8:S8"/>
    <mergeCell ref="M9:O9"/>
    <mergeCell ref="Q9:S9"/>
    <mergeCell ref="M8:O8"/>
    <mergeCell ref="Q12:S12"/>
    <mergeCell ref="M12:O12"/>
    <mergeCell ref="Q14:S14"/>
    <mergeCell ref="M15:O15"/>
    <mergeCell ref="M6:O6"/>
    <mergeCell ref="Q6:S6"/>
    <mergeCell ref="M10:O10"/>
    <mergeCell ref="M11:O11"/>
    <mergeCell ref="B21:C21"/>
    <mergeCell ref="M16:O16"/>
    <mergeCell ref="Q15:S15"/>
  </mergeCells>
  <pageMargins left="0.7" right="0.7" top="0.75" bottom="0.75" header="0.3" footer="0.3"/>
  <pageSetup orientation="portrait" paperSize="9" r:id="rId4"/>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c56b0f5-2893-4d79-8950-7539437fbb33}">
  <sheetPr codeName="Sheet3"/>
  <dimension ref="A1:AA109"/>
  <sheetViews>
    <sheetView showGridLines="0" showRowColHeaders="0" zoomScale="95" zoomScaleNormal="95" workbookViewId="0" topLeftCell="A4">
      <selection pane="topLeft" activeCell="Q13" sqref="Q13"/>
    </sheetView>
  </sheetViews>
  <sheetFormatPr defaultColWidth="9" defaultRowHeight="14.25"/>
  <cols>
    <col min="10" max="10" width="10" customWidth="1"/>
    <col min="12" max="12" width="7.75" customWidth="1"/>
    <col min="14" max="14" width="9.75" customWidth="1"/>
    <col min="15" max="15" width="10.125" customWidth="1"/>
    <col min="16" max="16" width="10.375" customWidth="1"/>
  </cols>
  <sheetData>
    <row r="1" spans="1:27" ht="14.25">
      <c r="A1" s="3"/>
      <c r="B1" s="3"/>
      <c r="C1" s="3"/>
      <c r="D1" s="3"/>
      <c r="E1" s="3"/>
      <c r="F1" s="3"/>
      <c r="G1" s="3"/>
      <c r="H1" s="3"/>
      <c r="I1" s="3"/>
      <c r="J1" s="3"/>
      <c r="K1" s="3"/>
      <c r="L1" s="3"/>
      <c r="M1" s="3"/>
      <c r="N1" s="3"/>
      <c r="O1" s="3"/>
      <c r="P1" s="3"/>
      <c r="Q1" s="3"/>
      <c r="R1" s="3"/>
      <c r="S1" s="3"/>
      <c r="T1" s="3"/>
      <c r="U1" s="3"/>
      <c r="V1" s="3"/>
      <c r="W1" s="3"/>
      <c r="X1" s="3"/>
      <c r="Y1" s="3"/>
      <c r="Z1" s="3"/>
      <c r="AA1" s="3"/>
    </row>
    <row r="2" spans="1:27" ht="15" thickBot="1">
      <c r="A2" s="3"/>
      <c r="B2" s="3"/>
      <c r="C2" s="3"/>
      <c r="D2" s="3"/>
      <c r="E2" s="3"/>
      <c r="F2" s="3"/>
      <c r="G2" s="3"/>
      <c r="H2" s="3"/>
      <c r="I2" s="3"/>
      <c r="J2" s="3"/>
      <c r="K2" s="3"/>
      <c r="L2" s="3"/>
      <c r="M2" s="3"/>
      <c r="N2" s="3"/>
      <c r="O2" s="3"/>
      <c r="P2" s="3"/>
      <c r="Q2" s="3"/>
      <c r="R2" s="3"/>
      <c r="S2" s="3"/>
      <c r="T2" s="3"/>
      <c r="U2" s="3"/>
      <c r="V2" s="3"/>
      <c r="W2" s="3"/>
      <c r="X2" s="3"/>
      <c r="Y2" s="3"/>
      <c r="Z2" s="3"/>
      <c r="AA2" s="3"/>
    </row>
    <row r="3" spans="1:27" ht="24" customHeight="1">
      <c r="A3" s="3"/>
      <c r="B3" s="3"/>
      <c r="C3" s="22"/>
      <c r="D3" s="22"/>
      <c r="E3" s="22"/>
      <c r="F3" s="22"/>
      <c r="G3" s="22"/>
      <c r="H3" s="22"/>
      <c r="I3" s="22"/>
      <c r="J3" s="22"/>
      <c r="K3" s="22"/>
      <c r="L3" s="22"/>
      <c r="M3" s="217"/>
      <c r="N3" s="218"/>
      <c r="O3" s="10"/>
      <c r="P3" s="219" t="s">
        <v>15</v>
      </c>
      <c r="Q3" s="220"/>
      <c r="R3" s="220"/>
      <c r="S3" s="220"/>
      <c r="T3" s="220"/>
      <c r="U3" s="221"/>
      <c r="V3" s="3"/>
      <c r="W3" s="3"/>
      <c r="X3" s="3"/>
      <c r="Y3" s="3"/>
      <c r="Z3" s="3"/>
      <c r="AA3" s="3"/>
    </row>
    <row r="4" spans="1:27" ht="26.25" customHeight="1" thickBot="1">
      <c r="A4" s="3"/>
      <c r="B4" s="3"/>
      <c r="C4" s="22"/>
      <c r="D4" s="22"/>
      <c r="E4" s="22"/>
      <c r="F4" s="22"/>
      <c r="G4" s="22"/>
      <c r="H4" s="22"/>
      <c r="I4" s="22"/>
      <c r="J4" s="22"/>
      <c r="K4" s="22"/>
      <c r="L4" s="22"/>
      <c r="M4" s="225" t="s">
        <v>41</v>
      </c>
      <c r="N4" s="226"/>
      <c r="O4" s="227"/>
      <c r="P4" s="222"/>
      <c r="Q4" s="223"/>
      <c r="R4" s="223"/>
      <c r="S4" s="223"/>
      <c r="T4" s="223"/>
      <c r="U4" s="224"/>
      <c r="V4" s="3"/>
      <c r="W4" s="216" t="s">
        <v>116</v>
      </c>
      <c r="X4" s="216"/>
      <c r="Y4" s="216"/>
      <c r="Z4" s="216"/>
      <c r="AA4" s="3"/>
    </row>
    <row r="5" spans="1:27" ht="21" thickTop="1" thickBot="1">
      <c r="A5" s="3"/>
      <c r="B5" s="3"/>
      <c r="C5" s="22"/>
      <c r="D5" s="22"/>
      <c r="E5" s="22"/>
      <c r="F5" s="22"/>
      <c r="G5" s="22"/>
      <c r="H5" s="22"/>
      <c r="I5" s="22"/>
      <c r="J5" s="22"/>
      <c r="K5" s="22"/>
      <c r="L5" s="22"/>
      <c r="M5" s="251" t="s">
        <v>106</v>
      </c>
      <c r="N5" s="252"/>
      <c r="O5" s="252"/>
      <c r="P5" s="253"/>
      <c r="Q5" s="255" t="s">
        <v>107</v>
      </c>
      <c r="R5" s="256"/>
      <c r="S5" s="256"/>
      <c r="T5" s="257"/>
      <c r="U5" s="191" t="s">
        <v>35</v>
      </c>
      <c r="V5" s="3"/>
      <c r="W5" s="216"/>
      <c r="X5" s="216"/>
      <c r="Y5" s="216"/>
      <c r="Z5" s="216"/>
      <c r="AA5" s="3"/>
    </row>
    <row r="6" spans="1:27" ht="21.75" customHeight="1" thickBot="1">
      <c r="A6" s="3"/>
      <c r="B6" s="3"/>
      <c r="C6" s="22"/>
      <c r="D6" s="22"/>
      <c r="E6" s="22"/>
      <c r="F6" s="22"/>
      <c r="G6" s="22"/>
      <c r="H6" s="22"/>
      <c r="I6" s="22"/>
      <c r="J6" s="22"/>
      <c r="K6" s="22"/>
      <c r="L6" s="22"/>
      <c r="M6" s="8">
        <f>IFERROR(INT(J32),0)</f>
        <v>10</v>
      </c>
      <c r="N6" s="150" t="s">
        <v>20</v>
      </c>
      <c r="O6" s="151"/>
      <c r="P6" s="186"/>
      <c r="Q6" s="14">
        <v>10</v>
      </c>
      <c r="R6" s="129" t="s">
        <v>112</v>
      </c>
      <c r="S6" s="130"/>
      <c r="T6" s="130"/>
      <c r="U6" s="192"/>
      <c r="V6" s="3"/>
      <c r="W6" s="3"/>
      <c r="X6" s="3"/>
      <c r="Y6" s="3"/>
      <c r="Z6" s="3"/>
      <c r="AA6" s="3"/>
    </row>
    <row r="7" spans="1:27" ht="20.25" thickBot="1">
      <c r="A7" s="3"/>
      <c r="B7" s="3"/>
      <c r="C7" s="22"/>
      <c r="D7" s="22"/>
      <c r="E7" s="22"/>
      <c r="F7" s="22"/>
      <c r="G7" s="22"/>
      <c r="H7" s="22"/>
      <c r="I7" s="22"/>
      <c r="J7" s="22"/>
      <c r="K7" s="22"/>
      <c r="L7" s="23"/>
      <c r="M7" s="8">
        <f>IFERROR((J32-M6)*Q9,0)</f>
        <v>0.58000000000000107</v>
      </c>
      <c r="N7" s="150" t="s">
        <v>28</v>
      </c>
      <c r="O7" s="151"/>
      <c r="P7" s="186"/>
      <c r="Q7" s="14">
        <v>8</v>
      </c>
      <c r="R7" s="129" t="s">
        <v>111</v>
      </c>
      <c r="S7" s="130"/>
      <c r="T7" s="130"/>
      <c r="U7" s="192"/>
      <c r="V7" s="3"/>
      <c r="W7" s="3"/>
      <c r="X7" s="3"/>
      <c r="Y7" s="3"/>
      <c r="Z7" s="3"/>
      <c r="AA7" s="3"/>
    </row>
    <row r="8" spans="1:27" ht="20.25" thickBot="1">
      <c r="A8" s="3"/>
      <c r="B8" s="3"/>
      <c r="C8" s="22"/>
      <c r="D8" s="22"/>
      <c r="E8" s="22"/>
      <c r="F8" s="22"/>
      <c r="G8" s="22"/>
      <c r="H8" s="22"/>
      <c r="I8" s="22"/>
      <c r="J8" s="22"/>
      <c r="K8" s="22"/>
      <c r="L8" s="23"/>
      <c r="M8" s="7">
        <f>IFERROR(M6+K29,0)</f>
        <v>11</v>
      </c>
      <c r="N8" s="150" t="s">
        <v>7</v>
      </c>
      <c r="O8" s="151"/>
      <c r="P8" s="186"/>
      <c r="Q8" s="14">
        <v>10</v>
      </c>
      <c r="R8" s="129" t="s">
        <v>40</v>
      </c>
      <c r="S8" s="130"/>
      <c r="T8" s="130"/>
      <c r="U8" s="192"/>
      <c r="V8" s="3"/>
      <c r="W8" s="3"/>
      <c r="X8" s="3"/>
      <c r="Y8" s="3"/>
      <c r="Z8" s="3"/>
      <c r="AA8" s="3"/>
    </row>
    <row r="9" spans="1:27" ht="20.25" thickBot="1">
      <c r="A9" s="3"/>
      <c r="B9" s="3"/>
      <c r="C9" s="22"/>
      <c r="D9" s="22"/>
      <c r="E9" s="22"/>
      <c r="F9" s="22"/>
      <c r="G9" s="22"/>
      <c r="H9" s="22"/>
      <c r="I9" s="22"/>
      <c r="J9" s="22"/>
      <c r="K9" s="22"/>
      <c r="L9" s="23"/>
      <c r="M9" s="9">
        <f>IFERROR((ROUNDUP(L97,0)),0)</f>
        <v>94</v>
      </c>
      <c r="N9" s="210" t="s">
        <v>3</v>
      </c>
      <c r="O9" s="211"/>
      <c r="P9" s="212"/>
      <c r="Q9" s="14">
        <v>0.94199999999999995</v>
      </c>
      <c r="R9" s="129" t="s">
        <v>1</v>
      </c>
      <c r="S9" s="130"/>
      <c r="T9" s="130"/>
      <c r="U9" s="192"/>
      <c r="V9" s="3"/>
      <c r="W9" s="3"/>
      <c r="X9" s="3"/>
      <c r="Y9" s="3"/>
      <c r="Z9" s="3"/>
      <c r="AA9" s="3"/>
    </row>
    <row r="10" spans="1:27" ht="18.75" customHeight="1" thickTop="1" thickBot="1">
      <c r="A10" s="3"/>
      <c r="B10" s="3"/>
      <c r="C10" s="22"/>
      <c r="D10" s="22"/>
      <c r="E10" s="22"/>
      <c r="F10" s="22"/>
      <c r="G10" s="22"/>
      <c r="H10" s="22"/>
      <c r="I10" s="22"/>
      <c r="J10" s="22"/>
      <c r="K10" s="22"/>
      <c r="L10" s="22"/>
      <c r="M10" s="13">
        <f>IFERROR(INT(Q10/Q9),0)</f>
        <v>42</v>
      </c>
      <c r="N10" s="201" t="s">
        <v>5</v>
      </c>
      <c r="O10" s="202"/>
      <c r="P10" s="203"/>
      <c r="Q10" s="14">
        <v>40</v>
      </c>
      <c r="R10" s="129" t="s">
        <v>2</v>
      </c>
      <c r="S10" s="130"/>
      <c r="T10" s="130"/>
      <c r="U10" s="192"/>
      <c r="V10" s="3"/>
      <c r="W10" s="3"/>
      <c r="X10" s="3"/>
      <c r="Y10" s="3"/>
      <c r="Z10" s="3"/>
      <c r="AA10" s="3"/>
    </row>
    <row r="11" spans="1:27" ht="18.75" customHeight="1" thickBot="1">
      <c r="A11" s="3"/>
      <c r="B11" s="3"/>
      <c r="C11" s="22"/>
      <c r="D11" s="22"/>
      <c r="E11" s="22"/>
      <c r="F11" s="22"/>
      <c r="G11" s="22"/>
      <c r="H11" s="22"/>
      <c r="I11" s="22"/>
      <c r="J11" s="22"/>
      <c r="K11" s="22"/>
      <c r="L11" s="22"/>
      <c r="M11" s="8">
        <f>IFERROR(ROUNDUP(((Q10/Q9)-M10)*Q9,2),0)</f>
        <v>0.44</v>
      </c>
      <c r="N11" s="150" t="s">
        <v>8</v>
      </c>
      <c r="O11" s="151"/>
      <c r="P11" s="186"/>
      <c r="Q11" s="14">
        <v>1</v>
      </c>
      <c r="R11" s="129" t="s">
        <v>51</v>
      </c>
      <c r="S11" s="130"/>
      <c r="T11" s="130"/>
      <c r="U11" s="192"/>
      <c r="V11" s="3"/>
      <c r="W11" s="3"/>
      <c r="X11" s="3"/>
      <c r="Y11" s="3"/>
      <c r="Z11" s="3"/>
      <c r="AA11" s="3"/>
    </row>
    <row r="12" spans="1:27" ht="18.75" customHeight="1" thickBot="1">
      <c r="A12" s="3"/>
      <c r="B12" s="3"/>
      <c r="C12" s="22"/>
      <c r="D12" s="22"/>
      <c r="E12" s="22"/>
      <c r="F12" s="22"/>
      <c r="G12" s="22"/>
      <c r="H12" s="22"/>
      <c r="I12" s="22"/>
      <c r="J12" s="22"/>
      <c r="K12" s="22"/>
      <c r="L12" s="22"/>
      <c r="M12" s="7">
        <f>IFERROR(IF(M11=0,M10,M10+1),0)</f>
        <v>43</v>
      </c>
      <c r="N12" s="150" t="s">
        <v>6</v>
      </c>
      <c r="O12" s="151"/>
      <c r="P12" s="186"/>
      <c r="Q12" s="14">
        <v>1</v>
      </c>
      <c r="R12" s="129" t="s">
        <v>10</v>
      </c>
      <c r="S12" s="130"/>
      <c r="T12" s="130"/>
      <c r="U12" s="192"/>
      <c r="V12" s="3"/>
      <c r="W12" s="3"/>
      <c r="X12" s="3"/>
      <c r="Y12" s="3"/>
      <c r="Z12" s="3"/>
      <c r="AA12" s="3"/>
    </row>
    <row r="13" spans="1:27" ht="18" customHeight="1" thickBot="1">
      <c r="A13" s="3"/>
      <c r="B13" s="3"/>
      <c r="C13" s="22"/>
      <c r="D13" s="22"/>
      <c r="E13" s="22"/>
      <c r="F13" s="22"/>
      <c r="G13" s="22"/>
      <c r="H13" s="22"/>
      <c r="I13" s="22"/>
      <c r="J13" s="22"/>
      <c r="K13" s="22"/>
      <c r="L13" s="22"/>
      <c r="M13" s="11">
        <f>IFERROR(ROUNDUP((M12*Q9*Q7),0),0)</f>
        <v>325</v>
      </c>
      <c r="N13" s="198" t="s">
        <v>30</v>
      </c>
      <c r="O13" s="199"/>
      <c r="P13" s="200"/>
      <c r="Q13" s="14">
        <v>0.25</v>
      </c>
      <c r="R13" s="150" t="s">
        <v>11</v>
      </c>
      <c r="S13" s="151"/>
      <c r="T13" s="151"/>
      <c r="U13" s="192"/>
      <c r="V13" s="3"/>
      <c r="W13" s="3"/>
      <c r="X13" s="3"/>
      <c r="Y13" s="3"/>
      <c r="Z13" s="3"/>
      <c r="AA13" s="3"/>
    </row>
    <row r="14" spans="1:27" ht="18.75" thickBot="1">
      <c r="A14" s="3"/>
      <c r="B14" s="3"/>
      <c r="C14" s="22"/>
      <c r="D14" s="22"/>
      <c r="E14" s="22"/>
      <c r="F14" s="22"/>
      <c r="G14" s="22"/>
      <c r="H14" s="22"/>
      <c r="I14" s="22"/>
      <c r="J14" s="22"/>
      <c r="K14" s="22"/>
      <c r="L14" s="22"/>
      <c r="M14" s="11">
        <f>IFERROR(ROUNDUP((M12*Q9*Q6),0),0)</f>
        <v>406</v>
      </c>
      <c r="N14" s="198" t="s">
        <v>31</v>
      </c>
      <c r="O14" s="199"/>
      <c r="P14" s="200"/>
      <c r="Q14" s="14">
        <v>0.945</v>
      </c>
      <c r="R14" s="150" t="s">
        <v>13</v>
      </c>
      <c r="S14" s="151"/>
      <c r="T14" s="151"/>
      <c r="U14" s="192"/>
      <c r="V14" s="3"/>
      <c r="W14" s="3"/>
      <c r="X14" s="3"/>
      <c r="Y14" s="3"/>
      <c r="Z14" s="3"/>
      <c r="AA14" s="3"/>
    </row>
    <row r="15" spans="1:27" ht="18.75" customHeight="1" thickTop="1" thickBot="1">
      <c r="A15" s="3"/>
      <c r="B15" s="3"/>
      <c r="C15" s="22"/>
      <c r="D15" s="22"/>
      <c r="E15" s="22"/>
      <c r="F15" s="22"/>
      <c r="G15" s="22"/>
      <c r="H15" s="22"/>
      <c r="I15" s="22"/>
      <c r="J15" s="22"/>
      <c r="K15" s="22"/>
      <c r="L15" s="22"/>
      <c r="M15" s="12">
        <f>IFERROR(ROUNDUP(N29,2),0)</f>
        <v>10.949999999999999</v>
      </c>
      <c r="N15" s="201" t="s">
        <v>29</v>
      </c>
      <c r="O15" s="202"/>
      <c r="P15" s="203"/>
      <c r="Q15" s="247" t="str">
        <f>IF(OR(P29=TRUE,P30=TRUE,P31=TRUE,P32=TRUE,P33=TRUE,P34=TRUE,P35=TRUE,P36=TRUE,P37=TRUE),"لطفا عدد وارد کنید","")</f>
        <v/>
      </c>
      <c r="R15" s="248"/>
      <c r="S15" s="248"/>
      <c r="T15" s="248"/>
      <c r="U15" s="192"/>
      <c r="V15" s="3"/>
      <c r="W15" s="3"/>
      <c r="X15" s="3"/>
      <c r="Y15" s="3"/>
      <c r="Z15" s="3"/>
      <c r="AA15" s="3"/>
    </row>
    <row r="16" spans="1:27" ht="18.75" customHeight="1" thickBot="1">
      <c r="A16" s="3"/>
      <c r="B16" s="3"/>
      <c r="C16" s="22"/>
      <c r="D16" s="22"/>
      <c r="E16" s="22"/>
      <c r="F16" s="22"/>
      <c r="G16" s="22"/>
      <c r="H16" s="22"/>
      <c r="I16" s="22"/>
      <c r="J16" s="22"/>
      <c r="K16" s="22"/>
      <c r="L16" s="22"/>
      <c r="M16" s="8">
        <f>IFERROR(ROUNDUP(J30,1.5),0)</f>
        <v>20</v>
      </c>
      <c r="N16" s="240" t="s">
        <v>32</v>
      </c>
      <c r="O16" s="241"/>
      <c r="P16" s="242"/>
      <c r="Q16" s="249"/>
      <c r="R16" s="250"/>
      <c r="S16" s="250"/>
      <c r="T16" s="250"/>
      <c r="U16" s="192"/>
      <c r="V16" s="3"/>
      <c r="W16" s="3"/>
      <c r="X16" s="3"/>
      <c r="Y16" s="3"/>
      <c r="Z16" s="3"/>
      <c r="AA16" s="3"/>
    </row>
    <row r="17" spans="1:27" ht="16.5" thickBot="1">
      <c r="A17" s="3"/>
      <c r="B17" s="3"/>
      <c r="C17" s="22"/>
      <c r="D17" s="22"/>
      <c r="E17" s="22"/>
      <c r="F17" s="22"/>
      <c r="G17" s="22"/>
      <c r="H17" s="22"/>
      <c r="I17" s="22"/>
      <c r="J17" s="22"/>
      <c r="K17" s="22"/>
      <c r="L17" s="22"/>
      <c r="M17" s="8">
        <f>IFERROR(INT((Q10+(Q12*2))/Q14),0)</f>
        <v>44</v>
      </c>
      <c r="N17" s="150" t="s">
        <v>12</v>
      </c>
      <c r="O17" s="151"/>
      <c r="P17" s="186"/>
      <c r="Q17" s="243" t="str">
        <f>IF(M15&gt;13.5,"به دلیل عدم توانایی در حمل پنل سقفی بلندتر از 13.5 متر باید طول پنل سقفی دو قسمت شده و روی هم اورلب شوند","")</f>
        <v/>
      </c>
      <c r="R17" s="244"/>
      <c r="S17" s="244"/>
      <c r="T17" s="244"/>
      <c r="U17" s="192"/>
      <c r="V17" s="3"/>
      <c r="W17" s="3"/>
      <c r="X17" s="3"/>
      <c r="Y17" s="3"/>
      <c r="Z17" s="3"/>
      <c r="AA17" s="3"/>
    </row>
    <row r="18" spans="1:27" ht="16.5" thickBot="1">
      <c r="A18" s="3"/>
      <c r="B18" s="3"/>
      <c r="C18" s="22"/>
      <c r="D18" s="22"/>
      <c r="E18" s="22"/>
      <c r="F18" s="22"/>
      <c r="G18" s="22"/>
      <c r="H18" s="22"/>
      <c r="I18" s="22"/>
      <c r="J18" s="22"/>
      <c r="K18" s="22"/>
      <c r="L18" s="22"/>
      <c r="M18" s="8">
        <f>IFERROR(ROUNDUP((N31-M17)*Q14,2),0)</f>
        <v>0.42999999999999999</v>
      </c>
      <c r="N18" s="150" t="s">
        <v>14</v>
      </c>
      <c r="O18" s="151"/>
      <c r="P18" s="186"/>
      <c r="Q18" s="243"/>
      <c r="R18" s="244"/>
      <c r="S18" s="244"/>
      <c r="T18" s="244"/>
      <c r="U18" s="192"/>
      <c r="V18" s="3"/>
      <c r="W18" s="3"/>
      <c r="X18" s="3"/>
      <c r="Y18" s="3"/>
      <c r="Z18" s="3"/>
      <c r="AA18" s="3"/>
    </row>
    <row r="19" spans="1:27" ht="18.75" thickBot="1">
      <c r="A19" s="3"/>
      <c r="B19" s="3"/>
      <c r="C19" s="22"/>
      <c r="D19" s="22"/>
      <c r="E19" s="22"/>
      <c r="F19" s="22"/>
      <c r="G19" s="22"/>
      <c r="H19" s="22"/>
      <c r="I19" s="22"/>
      <c r="J19" s="22"/>
      <c r="K19" s="22"/>
      <c r="L19" s="22"/>
      <c r="M19" s="11">
        <f>IFERROR(IF(M18=0,M17,M17+1),0)</f>
        <v>45</v>
      </c>
      <c r="N19" s="237" t="s">
        <v>33</v>
      </c>
      <c r="O19" s="238"/>
      <c r="P19" s="239"/>
      <c r="Q19" s="243"/>
      <c r="R19" s="244"/>
      <c r="S19" s="244"/>
      <c r="T19" s="244"/>
      <c r="U19" s="192"/>
      <c r="V19" s="3"/>
      <c r="W19" s="3"/>
      <c r="X19" s="3"/>
      <c r="Y19" s="3"/>
      <c r="Z19" s="3"/>
      <c r="AA19" s="3"/>
    </row>
    <row r="20" spans="1:27" ht="18.75" thickBot="1">
      <c r="A20" s="3"/>
      <c r="B20" s="3"/>
      <c r="C20" s="22"/>
      <c r="D20" s="22"/>
      <c r="E20" s="22"/>
      <c r="F20" s="22"/>
      <c r="G20" s="22"/>
      <c r="H20" s="22"/>
      <c r="I20" s="22"/>
      <c r="J20" s="22"/>
      <c r="K20" s="22"/>
      <c r="L20" s="22"/>
      <c r="M20" s="9">
        <f>IFERROR(ROUNDUP((M19*M15*Q14),0),0)</f>
        <v>466</v>
      </c>
      <c r="N20" s="204" t="s">
        <v>34</v>
      </c>
      <c r="O20" s="205"/>
      <c r="P20" s="206"/>
      <c r="Q20" s="245"/>
      <c r="R20" s="246"/>
      <c r="S20" s="246"/>
      <c r="T20" s="246"/>
      <c r="U20" s="254"/>
      <c r="V20" s="3"/>
      <c r="W20" s="3"/>
      <c r="X20" s="3"/>
      <c r="Y20" s="3"/>
      <c r="Z20" s="3"/>
      <c r="AA20" s="3"/>
    </row>
    <row r="21" spans="1:27" ht="17.25" customHeight="1" thickTop="1" thickBot="1">
      <c r="A21" s="3"/>
      <c r="B21" s="3"/>
      <c r="C21" s="187" t="s">
        <v>39</v>
      </c>
      <c r="D21" s="188"/>
      <c r="E21" s="15">
        <f>IFERROR(IF(E108=0,"",E108),"")</f>
        <v>8.1199999999999992</v>
      </c>
      <c r="F21" s="15">
        <f t="shared" si="0" ref="F21:U21">IFERROR(IF(F108=0,"",F108),"")</f>
        <v>8.3000000000000007</v>
      </c>
      <c r="G21" s="15">
        <f t="shared" si="0"/>
        <v>8.4900000000000002</v>
      </c>
      <c r="H21" s="15">
        <f t="shared" si="0"/>
        <v>8.6799999999999997</v>
      </c>
      <c r="I21" s="15">
        <f t="shared" si="0"/>
        <v>8.8699999999999992</v>
      </c>
      <c r="J21" s="15">
        <f t="shared" si="0"/>
        <v>9.0600000000000005</v>
      </c>
      <c r="K21" s="15">
        <f t="shared" si="0"/>
        <v>9.25</v>
      </c>
      <c r="L21" s="15">
        <f t="shared" si="0"/>
        <v>9.4299999999999997</v>
      </c>
      <c r="M21" s="15">
        <f t="shared" si="0"/>
        <v>9.6199999999999992</v>
      </c>
      <c r="N21" s="15">
        <f t="shared" si="0"/>
        <v>10</v>
      </c>
      <c r="O21" s="15" t="str">
        <f t="shared" si="0"/>
        <v/>
      </c>
      <c r="P21" s="15" t="str">
        <f t="shared" si="0"/>
        <v/>
      </c>
      <c r="Q21" s="15" t="str">
        <f t="shared" si="0"/>
        <v/>
      </c>
      <c r="R21" s="15" t="str">
        <f t="shared" si="0"/>
        <v/>
      </c>
      <c r="S21" s="15" t="str">
        <f t="shared" si="0"/>
        <v/>
      </c>
      <c r="T21" s="15" t="str">
        <f t="shared" si="0"/>
        <v/>
      </c>
      <c r="U21" s="19" t="str">
        <f t="shared" si="0"/>
        <v/>
      </c>
      <c r="V21" s="3"/>
      <c r="W21" s="3"/>
      <c r="X21" s="3"/>
      <c r="Y21" s="3"/>
      <c r="Z21" s="3"/>
      <c r="AA21" s="3"/>
    </row>
    <row r="22" spans="1:27" ht="15.75" thickBot="1">
      <c r="A22" s="3"/>
      <c r="B22" s="3"/>
      <c r="C22" s="235"/>
      <c r="D22" s="236"/>
      <c r="E22" s="16" t="str">
        <f>IFERROR(IF(E109=0,"",E109),"")</f>
        <v/>
      </c>
      <c r="F22" s="16" t="str">
        <f t="shared" si="1" ref="F22:U22">IFERROR(IF(F109=0,"",F109),"")</f>
        <v/>
      </c>
      <c r="G22" s="16" t="str">
        <f t="shared" si="1"/>
        <v/>
      </c>
      <c r="H22" s="16" t="str">
        <f t="shared" si="1"/>
        <v/>
      </c>
      <c r="I22" s="16" t="str">
        <f t="shared" si="1"/>
        <v/>
      </c>
      <c r="J22" s="16" t="str">
        <f t="shared" si="1"/>
        <v/>
      </c>
      <c r="K22" s="16" t="str">
        <f t="shared" si="1"/>
        <v/>
      </c>
      <c r="L22" s="16" t="str">
        <f t="shared" si="1"/>
        <v/>
      </c>
      <c r="M22" s="16" t="str">
        <f t="shared" si="1"/>
        <v/>
      </c>
      <c r="N22" s="16" t="str">
        <f t="shared" si="1"/>
        <v/>
      </c>
      <c r="O22" s="16" t="str">
        <f t="shared" si="1"/>
        <v/>
      </c>
      <c r="P22" s="16" t="str">
        <f t="shared" si="1"/>
        <v/>
      </c>
      <c r="Q22" s="16" t="str">
        <f t="shared" si="1"/>
        <v/>
      </c>
      <c r="R22" s="16" t="str">
        <f t="shared" si="1"/>
        <v/>
      </c>
      <c r="S22" s="16" t="str">
        <f t="shared" si="1"/>
        <v/>
      </c>
      <c r="T22" s="16" t="str">
        <f t="shared" si="1"/>
        <v/>
      </c>
      <c r="U22" s="17" t="str">
        <f t="shared" si="1"/>
        <v/>
      </c>
      <c r="V22" s="3"/>
      <c r="W22" s="3"/>
      <c r="X22" s="3"/>
      <c r="Y22" s="3"/>
      <c r="Z22" s="3"/>
      <c r="AA22" s="3"/>
    </row>
    <row r="23" spans="1:27" ht="22.5" customHeight="1" thickTop="1" thickBot="1">
      <c r="A23" s="3"/>
      <c r="B23" s="3"/>
      <c r="C23" s="213" t="s">
        <v>114</v>
      </c>
      <c r="D23" s="214"/>
      <c r="E23" s="214"/>
      <c r="F23" s="214"/>
      <c r="G23" s="214"/>
      <c r="H23" s="214"/>
      <c r="I23" s="214"/>
      <c r="J23" s="214"/>
      <c r="K23" s="214"/>
      <c r="L23" s="214"/>
      <c r="M23" s="214"/>
      <c r="N23" s="214"/>
      <c r="O23" s="214"/>
      <c r="P23" s="214"/>
      <c r="Q23" s="214"/>
      <c r="R23" s="214"/>
      <c r="S23" s="214"/>
      <c r="T23" s="214"/>
      <c r="U23" s="215"/>
      <c r="V23" s="3"/>
      <c r="W23" s="3"/>
      <c r="X23" s="3"/>
      <c r="Y23" s="3"/>
      <c r="Z23" s="3"/>
      <c r="AA23" s="3"/>
    </row>
    <row r="24" spans="1:27" ht="15" thickTop="1">
      <c r="A24" s="3"/>
      <c r="B24" s="3"/>
      <c r="C24" s="3"/>
      <c r="D24" s="3"/>
      <c r="E24" s="3"/>
      <c r="F24" s="3"/>
      <c r="G24" s="3"/>
      <c r="H24" s="3"/>
      <c r="I24" s="3"/>
      <c r="J24" s="3"/>
      <c r="K24" s="3"/>
      <c r="L24" s="3"/>
      <c r="M24" s="3"/>
      <c r="N24" s="3"/>
      <c r="O24" s="3"/>
      <c r="P24" s="3"/>
      <c r="Q24" s="3"/>
      <c r="R24" s="3"/>
      <c r="S24" s="3"/>
      <c r="T24" s="3"/>
      <c r="U24" s="3"/>
      <c r="V24" s="3"/>
      <c r="W24" s="3"/>
      <c r="X24" s="3"/>
      <c r="Y24" s="3"/>
      <c r="Z24" s="3"/>
      <c r="AA24" s="3"/>
    </row>
    <row r="25" spans="1:27" ht="14.25">
      <c r="A25" s="3"/>
      <c r="B25" s="3"/>
      <c r="C25" s="3"/>
      <c r="D25" s="3"/>
      <c r="E25" s="3"/>
      <c r="F25" s="3"/>
      <c r="G25" s="3"/>
      <c r="H25" s="3"/>
      <c r="I25" s="3"/>
      <c r="J25" s="3"/>
      <c r="K25" s="3"/>
      <c r="L25" s="3"/>
      <c r="M25" s="3"/>
      <c r="N25" s="3"/>
      <c r="O25" s="3"/>
      <c r="P25" s="3"/>
      <c r="Q25" s="3"/>
      <c r="R25" s="3"/>
      <c r="S25" s="3"/>
      <c r="T25" s="3"/>
      <c r="U25" s="3"/>
      <c r="V25" s="3"/>
      <c r="W25" s="3"/>
      <c r="X25" s="3"/>
      <c r="Y25" s="3"/>
      <c r="Z25" s="3"/>
      <c r="AA25" s="3"/>
    </row>
    <row r="26" spans="7:27" ht="14.25">
      <c r="G26" s="1"/>
      <c r="H26" s="5"/>
      <c r="I26" s="5"/>
      <c r="J26" s="5"/>
      <c r="K26" s="5"/>
      <c r="L26" s="5"/>
      <c r="M26" s="5"/>
      <c r="N26" s="5"/>
      <c r="O26" s="5"/>
      <c r="P26" s="5"/>
      <c r="Q26" s="5"/>
      <c r="R26" s="5"/>
      <c r="S26" s="5"/>
      <c r="T26" s="5"/>
      <c r="V26" s="4"/>
      <c r="W26" s="4"/>
      <c r="X26" s="4"/>
      <c r="Y26" s="4"/>
      <c r="Z26" s="4"/>
      <c r="AA26" s="4"/>
    </row>
    <row r="27" spans="7:20" ht="14.25">
      <c r="G27" s="1"/>
      <c r="H27" s="5"/>
      <c r="I27" s="5"/>
      <c r="J27" s="5"/>
      <c r="K27" s="5"/>
      <c r="L27" s="5"/>
      <c r="M27" s="5"/>
      <c r="N27" s="5"/>
      <c r="O27" s="5"/>
      <c r="P27" s="5"/>
      <c r="Q27" s="5"/>
      <c r="R27" s="5"/>
      <c r="S27" s="5"/>
      <c r="T27" s="5"/>
    </row>
    <row r="28" spans="7:20" ht="14.25">
      <c r="G28" s="1"/>
      <c r="H28" s="5"/>
      <c r="I28" s="5"/>
      <c r="J28" s="2"/>
      <c r="K28" s="2"/>
      <c r="L28" s="2"/>
      <c r="M28" s="2"/>
      <c r="N28" s="2"/>
      <c r="O28" s="2"/>
      <c r="P28" s="2"/>
      <c r="Q28" s="5"/>
      <c r="R28" s="5"/>
      <c r="S28" s="5"/>
      <c r="T28" s="5"/>
    </row>
    <row r="29" spans="7:20" ht="14.25">
      <c r="G29" s="1"/>
      <c r="H29" s="5"/>
      <c r="I29" s="5"/>
      <c r="J29" s="2">
        <f>Q6-Q7</f>
        <v>2</v>
      </c>
      <c r="K29" s="2">
        <f>IF(M7=0,0,1)</f>
        <v>1</v>
      </c>
      <c r="L29" s="2"/>
      <c r="M29" s="2"/>
      <c r="N29" s="2">
        <f>(SQRT((POWER((Q8),2))+(POWER(J29,2))))+Q11-Q13</f>
        <v>10.948039027185569</v>
      </c>
      <c r="O29" s="2"/>
      <c r="P29" s="2" t="b">
        <f>ISTEXT(Q6)</f>
        <v>0</v>
      </c>
      <c r="Q29" s="5"/>
      <c r="R29" s="5"/>
      <c r="S29" s="5"/>
      <c r="T29" s="5"/>
    </row>
    <row r="30" spans="7:20" ht="14.25">
      <c r="G30" s="1"/>
      <c r="H30" s="5"/>
      <c r="I30" s="5"/>
      <c r="J30" s="2">
        <f>(J29/Q8)*100</f>
        <v>20</v>
      </c>
      <c r="K30" s="2"/>
      <c r="L30" s="2"/>
      <c r="M30" s="2"/>
      <c r="N30" s="2"/>
      <c r="O30" s="2"/>
      <c r="P30" s="2" t="b">
        <f t="shared" si="2" ref="P30:P36">ISTEXT(Q7)</f>
        <v>0</v>
      </c>
      <c r="Q30" s="5"/>
      <c r="R30" s="5"/>
      <c r="S30" s="5"/>
      <c r="T30" s="5"/>
    </row>
    <row r="31" spans="7:20" ht="14.25">
      <c r="G31" s="1"/>
      <c r="H31" s="5"/>
      <c r="I31" s="5"/>
      <c r="J31" s="2"/>
      <c r="K31" s="2"/>
      <c r="L31" s="2"/>
      <c r="M31" s="2"/>
      <c r="N31" s="2">
        <f>(Q10+(Q12*2))/Q14</f>
        <v>44.44444444444445</v>
      </c>
      <c r="O31" s="2"/>
      <c r="P31" s="2" t="b">
        <f t="shared" si="2"/>
        <v>0</v>
      </c>
      <c r="Q31" s="5"/>
      <c r="R31" s="5"/>
      <c r="S31" s="5"/>
      <c r="T31" s="5"/>
    </row>
    <row r="32" spans="7:20" ht="14.25">
      <c r="G32" s="1"/>
      <c r="H32" s="5"/>
      <c r="I32" s="5"/>
      <c r="J32" s="2">
        <f>Q8/Q9</f>
        <v>10.615711252653929</v>
      </c>
      <c r="K32" s="2"/>
      <c r="L32" s="2"/>
      <c r="M32" s="2"/>
      <c r="N32" s="2"/>
      <c r="O32" s="2"/>
      <c r="P32" s="2" t="b">
        <f t="shared" si="2"/>
        <v>0</v>
      </c>
      <c r="Q32" s="5"/>
      <c r="R32" s="5"/>
      <c r="S32" s="5"/>
      <c r="T32" s="5"/>
    </row>
    <row r="33" spans="7:20" ht="14.25">
      <c r="G33" s="1"/>
      <c r="H33" s="5"/>
      <c r="I33" s="5"/>
      <c r="J33" s="2"/>
      <c r="K33" s="2"/>
      <c r="L33" s="2"/>
      <c r="M33" s="2"/>
      <c r="N33" s="2"/>
      <c r="O33" s="2"/>
      <c r="P33" s="2" t="b">
        <f t="shared" si="2"/>
        <v>0</v>
      </c>
      <c r="Q33" s="5"/>
      <c r="R33" s="5"/>
      <c r="S33" s="5"/>
      <c r="T33" s="5"/>
    </row>
    <row r="34" spans="7:20" ht="14.25">
      <c r="G34" s="1"/>
      <c r="H34" s="5"/>
      <c r="I34" s="5"/>
      <c r="J34" s="2"/>
      <c r="K34" s="2"/>
      <c r="L34" s="2"/>
      <c r="M34" s="2"/>
      <c r="N34" s="2"/>
      <c r="O34" s="2"/>
      <c r="P34" s="2" t="b">
        <f t="shared" si="2"/>
        <v>0</v>
      </c>
      <c r="Q34" s="5"/>
      <c r="R34" s="5"/>
      <c r="S34" s="2"/>
      <c r="T34" s="2"/>
    </row>
    <row r="35" spans="7:20" ht="14.25">
      <c r="G35" s="1"/>
      <c r="H35" s="5"/>
      <c r="I35" s="5"/>
      <c r="J35" s="2"/>
      <c r="K35" s="2">
        <f>((J$30/100)*M$7)+Q$7</f>
        <v>8.1159999999999997</v>
      </c>
      <c r="L35" s="2">
        <f>IF(K35&lt;=Q$6,K35,0)</f>
        <v>8.1159999999999997</v>
      </c>
      <c r="M35" s="2">
        <f>IF(L35&gt;0,1,0)</f>
        <v>1</v>
      </c>
      <c r="N35" s="2"/>
      <c r="O35" s="2"/>
      <c r="P35" s="2" t="b">
        <f t="shared" si="2"/>
        <v>0</v>
      </c>
      <c r="Q35" s="5"/>
      <c r="R35" s="5"/>
      <c r="S35" s="2"/>
      <c r="T35" s="2"/>
    </row>
    <row r="36" spans="7:20" ht="14.25">
      <c r="G36" s="1"/>
      <c r="H36" s="5"/>
      <c r="I36" s="5"/>
      <c r="J36" s="2"/>
      <c r="K36" s="2">
        <f>((J$30/100)*(M$7+Q$9))+Q$7</f>
        <v>8.3044000000000011</v>
      </c>
      <c r="L36" s="2">
        <f t="shared" si="3" ref="L36:L95">IF(K36&lt;=Q$6,K36,0)</f>
        <v>8.3044000000000011</v>
      </c>
      <c r="M36" s="2">
        <f t="shared" si="4" ref="M36:M95">IF(L36&gt;0,1,0)</f>
        <v>1</v>
      </c>
      <c r="N36" s="2"/>
      <c r="O36" s="2"/>
      <c r="P36" s="2" t="b">
        <f t="shared" si="2"/>
        <v>0</v>
      </c>
      <c r="Q36" s="5"/>
      <c r="R36" s="5"/>
      <c r="S36" s="2"/>
      <c r="T36" s="2"/>
    </row>
    <row r="37" spans="7:20" ht="14.25">
      <c r="G37" s="1"/>
      <c r="H37" s="5"/>
      <c r="I37" s="5"/>
      <c r="J37" s="2"/>
      <c r="K37" s="2">
        <f>((J$30/100)*(M$7+Q$9*2))+Q$7</f>
        <v>8.4928000000000008</v>
      </c>
      <c r="L37" s="2">
        <f t="shared" si="3"/>
        <v>8.4928000000000008</v>
      </c>
      <c r="M37" s="2">
        <f t="shared" si="4"/>
        <v>1</v>
      </c>
      <c r="N37" s="2"/>
      <c r="O37" s="2"/>
      <c r="P37" s="2" t="b">
        <f>ISTEXT(Q14)</f>
        <v>0</v>
      </c>
      <c r="Q37" s="5"/>
      <c r="R37" s="5"/>
      <c r="S37" s="2"/>
      <c r="T37" s="2"/>
    </row>
    <row r="38" spans="7:20" ht="14.25">
      <c r="G38" s="1"/>
      <c r="H38" s="5"/>
      <c r="I38" s="5"/>
      <c r="J38" s="2"/>
      <c r="K38" s="2">
        <f>((J$30/100)*(M$7+Q$9*3))+Q$7</f>
        <v>8.6812000000000005</v>
      </c>
      <c r="L38" s="2">
        <f t="shared" si="3"/>
        <v>8.6812000000000005</v>
      </c>
      <c r="M38" s="2">
        <f t="shared" si="4"/>
        <v>1</v>
      </c>
      <c r="N38" s="2"/>
      <c r="O38" s="2"/>
      <c r="P38" s="2"/>
      <c r="Q38" s="5"/>
      <c r="R38" s="5"/>
      <c r="S38" s="2"/>
      <c r="T38" s="2"/>
    </row>
    <row r="39" spans="7:20" ht="14.25">
      <c r="G39" s="1"/>
      <c r="H39" s="5"/>
      <c r="I39" s="5"/>
      <c r="J39" s="2"/>
      <c r="K39" s="2">
        <f>((J$30/100)*(M$7+Q$9*4))+Q$7</f>
        <v>8.8696000000000002</v>
      </c>
      <c r="L39" s="2">
        <f t="shared" si="3"/>
        <v>8.8696000000000002</v>
      </c>
      <c r="M39" s="2">
        <f t="shared" si="4"/>
        <v>1</v>
      </c>
      <c r="N39" s="2"/>
      <c r="O39" s="2"/>
      <c r="P39" s="2"/>
      <c r="Q39" s="5"/>
      <c r="R39" s="5"/>
      <c r="S39" s="2"/>
      <c r="T39" s="2"/>
    </row>
    <row r="40" spans="7:20" ht="14.25">
      <c r="G40" s="1"/>
      <c r="H40" s="5"/>
      <c r="I40" s="5"/>
      <c r="J40" s="2"/>
      <c r="K40" s="2">
        <f>((J$30/100)*(M$7+Q$9*5))+Q$7</f>
        <v>9.0579999999999998</v>
      </c>
      <c r="L40" s="2">
        <f t="shared" si="3"/>
        <v>9.0579999999999998</v>
      </c>
      <c r="M40" s="2">
        <f t="shared" si="4"/>
        <v>1</v>
      </c>
      <c r="N40" s="2"/>
      <c r="O40" s="2"/>
      <c r="P40" s="2"/>
      <c r="Q40" s="5"/>
      <c r="R40" s="5"/>
      <c r="S40" s="2"/>
      <c r="T40" s="2"/>
    </row>
    <row r="41" spans="7:20" ht="14.25">
      <c r="G41" s="1"/>
      <c r="H41" s="5"/>
      <c r="I41" s="5"/>
      <c r="J41" s="2"/>
      <c r="K41" s="2">
        <f>((J$30/100)*(M$7+Q$9*6))+Q$7</f>
        <v>9.2463999999999995</v>
      </c>
      <c r="L41" s="2">
        <f t="shared" si="3"/>
        <v>9.2463999999999995</v>
      </c>
      <c r="M41" s="2">
        <f t="shared" si="4"/>
        <v>1</v>
      </c>
      <c r="N41" s="2"/>
      <c r="O41" s="2"/>
      <c r="P41" s="2"/>
      <c r="Q41" s="5"/>
      <c r="R41" s="5"/>
      <c r="S41" s="2"/>
      <c r="T41" s="2"/>
    </row>
    <row r="42" spans="7:20" ht="14.25">
      <c r="G42" s="1"/>
      <c r="H42" s="5"/>
      <c r="I42" s="5"/>
      <c r="J42" s="2"/>
      <c r="K42" s="2">
        <f>((J$30/100)*(M$7+Q$9*7))+Q$7</f>
        <v>9.4347999999999992</v>
      </c>
      <c r="L42" s="2">
        <f t="shared" si="3"/>
        <v>9.4347999999999992</v>
      </c>
      <c r="M42" s="2">
        <f t="shared" si="4"/>
        <v>1</v>
      </c>
      <c r="N42" s="2"/>
      <c r="O42" s="2"/>
      <c r="P42" s="2"/>
      <c r="Q42" s="5"/>
      <c r="R42" s="5"/>
      <c r="S42" s="2"/>
      <c r="T42" s="2"/>
    </row>
    <row r="43" spans="7:20" ht="14.25">
      <c r="G43" s="1"/>
      <c r="H43" s="5"/>
      <c r="I43" s="5"/>
      <c r="J43" s="2"/>
      <c r="K43" s="2">
        <f>((J$30/100)*(M$7+Q$9*8))+Q$7</f>
        <v>9.6232000000000006</v>
      </c>
      <c r="L43" s="2">
        <f t="shared" si="3"/>
        <v>9.6232000000000006</v>
      </c>
      <c r="M43" s="2">
        <f t="shared" si="4"/>
        <v>1</v>
      </c>
      <c r="N43" s="2"/>
      <c r="O43" s="2"/>
      <c r="P43" s="2"/>
      <c r="Q43" s="5"/>
      <c r="R43" s="5"/>
      <c r="S43" s="2"/>
      <c r="T43" s="2"/>
    </row>
    <row r="44" spans="7:20" ht="14.25">
      <c r="G44" s="1"/>
      <c r="H44" s="5"/>
      <c r="I44" s="5"/>
      <c r="J44" s="2"/>
      <c r="K44" s="2">
        <f>((J$30/100)*(M$7+Q$9*9))+Q$7</f>
        <v>9.8116000000000003</v>
      </c>
      <c r="L44" s="2">
        <f t="shared" si="3"/>
        <v>9.8116000000000003</v>
      </c>
      <c r="M44" s="2">
        <f t="shared" si="4"/>
        <v>1</v>
      </c>
      <c r="N44" s="2"/>
      <c r="O44" s="2"/>
      <c r="P44" s="2"/>
      <c r="Q44" s="5"/>
      <c r="R44" s="5"/>
      <c r="S44" s="2"/>
      <c r="T44" s="2"/>
    </row>
    <row r="45" spans="7:20" ht="14.25">
      <c r="G45" s="1"/>
      <c r="H45" s="5"/>
      <c r="I45" s="5"/>
      <c r="J45" s="2"/>
      <c r="K45" s="2">
        <f>((J$30/100)*(M$7+Q$9*10))+Q$7</f>
        <v>10</v>
      </c>
      <c r="L45" s="2">
        <f t="shared" si="3"/>
        <v>10</v>
      </c>
      <c r="M45" s="2">
        <f t="shared" si="4"/>
        <v>1</v>
      </c>
      <c r="N45" s="2"/>
      <c r="O45" s="2"/>
      <c r="P45" s="2"/>
      <c r="Q45" s="5"/>
      <c r="R45" s="5"/>
      <c r="S45" s="2"/>
      <c r="T45" s="2"/>
    </row>
    <row r="46" spans="7:20" ht="14.25">
      <c r="G46" s="1"/>
      <c r="H46" s="5"/>
      <c r="I46" s="5"/>
      <c r="J46" s="2"/>
      <c r="K46" s="2">
        <f>((J$30/100)*(M$7+Q$9*11))+Q$7</f>
        <v>10.188400000000001</v>
      </c>
      <c r="L46" s="2">
        <f t="shared" si="3"/>
        <v>0</v>
      </c>
      <c r="M46" s="2">
        <f t="shared" si="4"/>
        <v>0</v>
      </c>
      <c r="N46" s="2"/>
      <c r="O46" s="2"/>
      <c r="P46" s="2"/>
      <c r="Q46" s="5"/>
      <c r="R46" s="5"/>
      <c r="S46" s="2"/>
      <c r="T46" s="2"/>
    </row>
    <row r="47" spans="7:20" ht="14.25">
      <c r="G47" s="1"/>
      <c r="H47" s="5"/>
      <c r="I47" s="5"/>
      <c r="J47" s="2"/>
      <c r="K47" s="2">
        <f>((J$30/100)*(M$7+Q$9*12))+Q$7</f>
        <v>10.376799999999999</v>
      </c>
      <c r="L47" s="2">
        <f t="shared" si="3"/>
        <v>0</v>
      </c>
      <c r="M47" s="2">
        <f t="shared" si="4"/>
        <v>0</v>
      </c>
      <c r="N47" s="2"/>
      <c r="O47" s="2"/>
      <c r="P47" s="2"/>
      <c r="Q47" s="5"/>
      <c r="R47" s="5"/>
      <c r="S47" s="2"/>
      <c r="T47" s="2"/>
    </row>
    <row r="48" spans="7:20" ht="14.25">
      <c r="G48" s="1"/>
      <c r="H48" s="5"/>
      <c r="I48" s="5"/>
      <c r="J48" s="2"/>
      <c r="K48" s="2">
        <f>((J$30/100)*(M$7+Q$9*13))+Q$7</f>
        <v>10.565200000000001</v>
      </c>
      <c r="L48" s="2">
        <f t="shared" si="3"/>
        <v>0</v>
      </c>
      <c r="M48" s="2">
        <f t="shared" si="4"/>
        <v>0</v>
      </c>
      <c r="N48" s="2"/>
      <c r="O48" s="2"/>
      <c r="P48" s="2"/>
      <c r="Q48" s="5"/>
      <c r="R48" s="5"/>
      <c r="S48" s="2"/>
      <c r="T48" s="2"/>
    </row>
    <row r="49" spans="7:20" ht="14.25">
      <c r="G49" s="1"/>
      <c r="H49" s="5"/>
      <c r="I49" s="5"/>
      <c r="J49" s="2"/>
      <c r="K49" s="2">
        <f>((J$30/100)*(M$7+Q$9*14))+Q$7</f>
        <v>10.7536</v>
      </c>
      <c r="L49" s="2">
        <f t="shared" si="3"/>
        <v>0</v>
      </c>
      <c r="M49" s="2">
        <f t="shared" si="4"/>
        <v>0</v>
      </c>
      <c r="N49" s="2"/>
      <c r="O49" s="2"/>
      <c r="P49" s="2"/>
      <c r="Q49" s="5"/>
      <c r="R49" s="5"/>
      <c r="S49" s="2"/>
      <c r="T49" s="2"/>
    </row>
    <row r="50" spans="7:20" ht="14.25">
      <c r="G50" s="1"/>
      <c r="H50" s="5"/>
      <c r="I50" s="5"/>
      <c r="J50" s="2"/>
      <c r="K50" s="2">
        <f>((J$30/100)*(M$7+Q$9*15))+Q$7</f>
        <v>10.942</v>
      </c>
      <c r="L50" s="2">
        <f t="shared" si="3"/>
        <v>0</v>
      </c>
      <c r="M50" s="2">
        <f t="shared" si="4"/>
        <v>0</v>
      </c>
      <c r="N50" s="2"/>
      <c r="O50" s="2"/>
      <c r="P50" s="2"/>
      <c r="Q50" s="5"/>
      <c r="R50" s="5"/>
      <c r="S50" s="2"/>
      <c r="T50" s="2"/>
    </row>
    <row r="51" spans="7:20" ht="14.25">
      <c r="G51" s="1"/>
      <c r="H51" s="5"/>
      <c r="I51" s="5"/>
      <c r="J51" s="2"/>
      <c r="K51" s="2">
        <f>((J$30/100)*(M$7+Q$9*16))+Q$7</f>
        <v>11.1304</v>
      </c>
      <c r="L51" s="2">
        <f t="shared" si="3"/>
        <v>0</v>
      </c>
      <c r="M51" s="2">
        <f t="shared" si="4"/>
        <v>0</v>
      </c>
      <c r="N51" s="2"/>
      <c r="O51" s="2"/>
      <c r="P51" s="2"/>
      <c r="Q51" s="5"/>
      <c r="R51" s="5"/>
      <c r="S51" s="2"/>
      <c r="T51" s="2"/>
    </row>
    <row r="52" spans="7:20" ht="14.25">
      <c r="G52" s="1"/>
      <c r="H52" s="5"/>
      <c r="I52" s="5"/>
      <c r="J52" s="2"/>
      <c r="K52" s="2">
        <f>((J$30/100)*(M$7+Q$9*17))+Q$7</f>
        <v>11.3188</v>
      </c>
      <c r="L52" s="2">
        <f t="shared" si="3"/>
        <v>0</v>
      </c>
      <c r="M52" s="2">
        <f t="shared" si="4"/>
        <v>0</v>
      </c>
      <c r="N52" s="2"/>
      <c r="O52" s="2"/>
      <c r="P52" s="2"/>
      <c r="Q52" s="5"/>
      <c r="R52" s="5"/>
      <c r="S52" s="2"/>
      <c r="T52" s="2"/>
    </row>
    <row r="53" spans="7:20" ht="14.25">
      <c r="G53" s="1"/>
      <c r="H53" s="5"/>
      <c r="I53" s="5"/>
      <c r="J53" s="2"/>
      <c r="K53" s="2">
        <f>((J$30/100)*(M$7+Q$9*18))+Q$7</f>
        <v>11.507200000000001</v>
      </c>
      <c r="L53" s="2">
        <f t="shared" si="3"/>
        <v>0</v>
      </c>
      <c r="M53" s="2">
        <f t="shared" si="4"/>
        <v>0</v>
      </c>
      <c r="N53" s="2"/>
      <c r="O53" s="2"/>
      <c r="P53" s="2"/>
      <c r="Q53" s="5"/>
      <c r="R53" s="5"/>
      <c r="S53" s="2"/>
      <c r="T53" s="2"/>
    </row>
    <row r="54" spans="7:20" ht="14.25">
      <c r="G54" s="1"/>
      <c r="H54" s="5"/>
      <c r="I54" s="5"/>
      <c r="J54" s="2"/>
      <c r="K54" s="2">
        <f>((J$30/100)*(M$7+Q$9*19))+Q$7</f>
        <v>11.695600000000001</v>
      </c>
      <c r="L54" s="2">
        <f t="shared" si="3"/>
        <v>0</v>
      </c>
      <c r="M54" s="2">
        <f t="shared" si="4"/>
        <v>0</v>
      </c>
      <c r="N54" s="2"/>
      <c r="O54" s="2"/>
      <c r="P54" s="2"/>
      <c r="Q54" s="5"/>
      <c r="R54" s="5"/>
      <c r="S54" s="2"/>
      <c r="T54" s="2"/>
    </row>
    <row r="55" spans="7:20" ht="14.25">
      <c r="G55" s="1"/>
      <c r="H55" s="5"/>
      <c r="I55" s="5"/>
      <c r="J55" s="2"/>
      <c r="K55" s="2">
        <f>((J$30/100)*(M$7+Q$9*20))+Q$7</f>
        <v>11.884</v>
      </c>
      <c r="L55" s="2">
        <f t="shared" si="3"/>
        <v>0</v>
      </c>
      <c r="M55" s="2">
        <f t="shared" si="4"/>
        <v>0</v>
      </c>
      <c r="N55" s="2"/>
      <c r="O55" s="2"/>
      <c r="P55" s="2"/>
      <c r="Q55" s="5"/>
      <c r="R55" s="5"/>
      <c r="S55" s="2"/>
      <c r="T55" s="2"/>
    </row>
    <row r="56" spans="7:20" ht="14.25">
      <c r="G56" s="1"/>
      <c r="H56" s="5"/>
      <c r="I56" s="5"/>
      <c r="J56" s="2"/>
      <c r="K56" s="2">
        <f>((J$30/100)*(M$7+Q$9*21))+Q$7</f>
        <v>12.072400000000002</v>
      </c>
      <c r="L56" s="2">
        <f t="shared" si="3"/>
        <v>0</v>
      </c>
      <c r="M56" s="2">
        <f t="shared" si="4"/>
        <v>0</v>
      </c>
      <c r="N56" s="2"/>
      <c r="O56" s="2"/>
      <c r="P56" s="2"/>
      <c r="Q56" s="5"/>
      <c r="R56" s="5"/>
      <c r="S56" s="2"/>
      <c r="T56" s="2"/>
    </row>
    <row r="57" spans="7:20" ht="14.25">
      <c r="G57" s="1"/>
      <c r="H57" s="5"/>
      <c r="I57" s="5"/>
      <c r="J57" s="2"/>
      <c r="K57" s="2">
        <f>((J$30/100)*(M$7+Q$9*22))+Q$7</f>
        <v>12.2608</v>
      </c>
      <c r="L57" s="2">
        <f t="shared" si="3"/>
        <v>0</v>
      </c>
      <c r="M57" s="2">
        <f t="shared" si="4"/>
        <v>0</v>
      </c>
      <c r="N57" s="2"/>
      <c r="O57" s="2"/>
      <c r="P57" s="2"/>
      <c r="Q57" s="5"/>
      <c r="R57" s="5"/>
      <c r="S57" s="2"/>
      <c r="T57" s="2"/>
    </row>
    <row r="58" spans="7:20" ht="14.25">
      <c r="G58" s="1"/>
      <c r="H58" s="5"/>
      <c r="I58" s="5"/>
      <c r="J58" s="2"/>
      <c r="K58" s="2">
        <f>((J$30/100)*(M$7+Q$9*23))+Q$7</f>
        <v>12.449200000000001</v>
      </c>
      <c r="L58" s="2">
        <f t="shared" si="3"/>
        <v>0</v>
      </c>
      <c r="M58" s="2">
        <f t="shared" si="4"/>
        <v>0</v>
      </c>
      <c r="N58" s="2"/>
      <c r="O58" s="2"/>
      <c r="P58" s="2"/>
      <c r="Q58" s="5"/>
      <c r="R58" s="5"/>
      <c r="S58" s="2"/>
      <c r="T58" s="2"/>
    </row>
    <row r="59" spans="7:20" ht="14.25">
      <c r="G59" s="1"/>
      <c r="H59" s="5"/>
      <c r="I59" s="5"/>
      <c r="J59" s="2"/>
      <c r="K59" s="2">
        <f>((J$30/100)*(M$7+Q$9*24))+Q$7</f>
        <v>12.637599999999999</v>
      </c>
      <c r="L59" s="2">
        <f t="shared" si="3"/>
        <v>0</v>
      </c>
      <c r="M59" s="2">
        <f t="shared" si="4"/>
        <v>0</v>
      </c>
      <c r="N59" s="2"/>
      <c r="O59" s="2"/>
      <c r="P59" s="2"/>
      <c r="Q59" s="5"/>
      <c r="R59" s="5"/>
      <c r="S59" s="2"/>
      <c r="T59" s="2"/>
    </row>
    <row r="60" spans="7:20" ht="14.25">
      <c r="G60" s="1"/>
      <c r="H60" s="1"/>
      <c r="I60" s="1"/>
      <c r="J60" s="6"/>
      <c r="K60" s="2">
        <f>((J$30/100)*(M$7+Q$9*25))+Q$7</f>
        <v>12.826000000000001</v>
      </c>
      <c r="L60" s="2">
        <f t="shared" si="3"/>
        <v>0</v>
      </c>
      <c r="M60" s="2">
        <f t="shared" si="4"/>
        <v>0</v>
      </c>
      <c r="N60" s="6"/>
      <c r="O60" s="6"/>
      <c r="P60" s="6"/>
      <c r="Q60" s="1"/>
      <c r="R60" s="1"/>
      <c r="S60" s="1"/>
      <c r="T60" s="1"/>
    </row>
    <row r="61" spans="7:16" ht="14.25">
      <c r="G61" s="1"/>
      <c r="H61" s="1"/>
      <c r="I61" s="1"/>
      <c r="J61" s="6"/>
      <c r="K61" s="2">
        <f>((J$30/100)*(M$7+Q$9*26))+Q$7</f>
        <v>13.0144</v>
      </c>
      <c r="L61" s="2">
        <f t="shared" si="3"/>
        <v>0</v>
      </c>
      <c r="M61" s="2">
        <f t="shared" si="4"/>
        <v>0</v>
      </c>
      <c r="N61" s="6"/>
      <c r="O61" s="6"/>
      <c r="P61" s="6"/>
    </row>
    <row r="62" spans="7:16" ht="14.25">
      <c r="G62" s="1"/>
      <c r="H62" s="1"/>
      <c r="I62" s="1"/>
      <c r="J62" s="6"/>
      <c r="K62" s="2">
        <f>((J$30/100)*(M$7+Q$9*27))+Q$7</f>
        <v>13.2028</v>
      </c>
      <c r="L62" s="2">
        <f t="shared" si="3"/>
        <v>0</v>
      </c>
      <c r="M62" s="2">
        <f t="shared" si="4"/>
        <v>0</v>
      </c>
      <c r="N62" s="6"/>
      <c r="O62" s="6"/>
      <c r="P62" s="6"/>
    </row>
    <row r="63" spans="7:16" ht="14.25">
      <c r="G63" s="1"/>
      <c r="H63" s="1"/>
      <c r="I63" s="1"/>
      <c r="J63" s="6"/>
      <c r="K63" s="2">
        <f>((J$30/100)*(M$7+Q$9*28))+Q$7</f>
        <v>13.391200000000001</v>
      </c>
      <c r="L63" s="2">
        <f t="shared" si="3"/>
        <v>0</v>
      </c>
      <c r="M63" s="2">
        <f t="shared" si="4"/>
        <v>0</v>
      </c>
      <c r="N63" s="6"/>
      <c r="O63" s="6"/>
      <c r="P63" s="6"/>
    </row>
    <row r="64" spans="7:16" ht="14.25">
      <c r="G64" s="1"/>
      <c r="H64" s="1"/>
      <c r="I64" s="1"/>
      <c r="J64" s="6"/>
      <c r="K64" s="2">
        <f>((J$30/100)*(M$7+Q$9*29))+Q$7</f>
        <v>13.579599999999999</v>
      </c>
      <c r="L64" s="2">
        <f t="shared" si="3"/>
        <v>0</v>
      </c>
      <c r="M64" s="2">
        <f t="shared" si="4"/>
        <v>0</v>
      </c>
      <c r="N64" s="6"/>
      <c r="O64" s="6"/>
      <c r="P64" s="6"/>
    </row>
    <row r="65" spans="7:16" ht="14.25">
      <c r="G65" s="1"/>
      <c r="H65" s="1"/>
      <c r="I65" s="1"/>
      <c r="J65" s="6"/>
      <c r="K65" s="2">
        <f>((J$30/100)*(M$7+Q$9*30))+Q$7</f>
        <v>13.768000000000001</v>
      </c>
      <c r="L65" s="2">
        <f t="shared" si="3"/>
        <v>0</v>
      </c>
      <c r="M65" s="2">
        <f t="shared" si="4"/>
        <v>0</v>
      </c>
      <c r="N65" s="6"/>
      <c r="O65" s="6"/>
      <c r="P65" s="6"/>
    </row>
    <row r="66" spans="7:16" ht="14.25">
      <c r="G66" s="1"/>
      <c r="H66" s="1"/>
      <c r="I66" s="1"/>
      <c r="J66" s="6"/>
      <c r="K66" s="2">
        <f>((J$30/100)*(M$7+Q$9*31))+Q$7</f>
        <v>13.9564</v>
      </c>
      <c r="L66" s="2">
        <f t="shared" si="3"/>
        <v>0</v>
      </c>
      <c r="M66" s="2">
        <f t="shared" si="4"/>
        <v>0</v>
      </c>
      <c r="N66" s="6"/>
      <c r="O66" s="6"/>
      <c r="P66" s="6"/>
    </row>
    <row r="67" spans="7:16" ht="14.25">
      <c r="G67" s="1"/>
      <c r="H67" s="1"/>
      <c r="I67" s="1"/>
      <c r="J67" s="6"/>
      <c r="K67" s="2">
        <f>((J$30/100)*(M$7+Q$9*32))+Q$7</f>
        <v>14.1448</v>
      </c>
      <c r="L67" s="2">
        <f t="shared" si="3"/>
        <v>0</v>
      </c>
      <c r="M67" s="2">
        <f t="shared" si="4"/>
        <v>0</v>
      </c>
      <c r="N67" s="6"/>
      <c r="O67" s="6"/>
      <c r="P67" s="6"/>
    </row>
    <row r="68" spans="7:16" ht="14.25">
      <c r="G68" s="1"/>
      <c r="H68" s="1"/>
      <c r="I68" s="1"/>
      <c r="J68" s="6"/>
      <c r="K68" s="2">
        <f>((J$30/100)*(M$7+Q$9*33))+Q$7</f>
        <v>14.333200000000001</v>
      </c>
      <c r="L68" s="2">
        <f t="shared" si="3"/>
        <v>0</v>
      </c>
      <c r="M68" s="2">
        <f t="shared" si="4"/>
        <v>0</v>
      </c>
      <c r="N68" s="6"/>
      <c r="O68" s="6"/>
      <c r="P68" s="6"/>
    </row>
    <row r="69" spans="7:16" ht="14.25">
      <c r="G69" s="1"/>
      <c r="H69" s="1"/>
      <c r="I69" s="1"/>
      <c r="J69" s="6"/>
      <c r="K69" s="2">
        <f>((J$30/100)*(M$7+Q$9*34))+Q$7</f>
        <v>14.521599999999999</v>
      </c>
      <c r="L69" s="2">
        <f t="shared" si="3"/>
        <v>0</v>
      </c>
      <c r="M69" s="2">
        <f t="shared" si="4"/>
        <v>0</v>
      </c>
      <c r="N69" s="6"/>
      <c r="O69" s="6"/>
      <c r="P69" s="6"/>
    </row>
    <row r="70" spans="7:16" ht="14.25">
      <c r="G70" s="1"/>
      <c r="H70" s="1"/>
      <c r="I70" s="1"/>
      <c r="J70" s="6"/>
      <c r="K70" s="2">
        <f>((J$30/100)*(M$7+Q$9*35))+Q$7</f>
        <v>14.710000000000001</v>
      </c>
      <c r="L70" s="2">
        <f t="shared" si="3"/>
        <v>0</v>
      </c>
      <c r="M70" s="2">
        <f t="shared" si="4"/>
        <v>0</v>
      </c>
      <c r="N70" s="6"/>
      <c r="O70" s="6"/>
      <c r="P70" s="6"/>
    </row>
    <row r="71" spans="7:16" ht="14.25">
      <c r="G71" s="1"/>
      <c r="H71" s="1"/>
      <c r="I71" s="1"/>
      <c r="J71" s="6"/>
      <c r="K71" s="2">
        <f>((J$30/100)*(M$7+Q$9*36))+Q$7</f>
        <v>14.898399999999999</v>
      </c>
      <c r="L71" s="2">
        <f t="shared" si="3"/>
        <v>0</v>
      </c>
      <c r="M71" s="2">
        <f t="shared" si="4"/>
        <v>0</v>
      </c>
      <c r="N71" s="6"/>
      <c r="O71" s="6"/>
      <c r="P71" s="6"/>
    </row>
    <row r="72" spans="7:16" ht="14.25">
      <c r="G72" s="1"/>
      <c r="H72" s="1"/>
      <c r="I72" s="1"/>
      <c r="J72" s="6"/>
      <c r="K72" s="2">
        <f>((J$30/100)*(M$7+Q$9*37))+Q$7</f>
        <v>15.0868</v>
      </c>
      <c r="L72" s="2">
        <f t="shared" si="3"/>
        <v>0</v>
      </c>
      <c r="M72" s="2">
        <f t="shared" si="4"/>
        <v>0</v>
      </c>
      <c r="N72" s="6"/>
      <c r="O72" s="6"/>
      <c r="P72" s="6"/>
    </row>
    <row r="73" spans="7:16" ht="14.25">
      <c r="G73" s="1"/>
      <c r="H73" s="1"/>
      <c r="I73" s="1"/>
      <c r="J73" s="6"/>
      <c r="K73" s="2">
        <f>((J$30/100)*(M$7+Q$9*38))+Q$7</f>
        <v>15.2752</v>
      </c>
      <c r="L73" s="2">
        <f t="shared" si="3"/>
        <v>0</v>
      </c>
      <c r="M73" s="2">
        <f t="shared" si="4"/>
        <v>0</v>
      </c>
      <c r="N73" s="6"/>
      <c r="O73" s="6"/>
      <c r="P73" s="6"/>
    </row>
    <row r="74" spans="7:16" ht="14.25">
      <c r="G74" s="1"/>
      <c r="H74" s="1"/>
      <c r="I74" s="1"/>
      <c r="J74" s="6"/>
      <c r="K74" s="2">
        <f>((J$30/100)*(M$7+Q$9*39))+Q$7</f>
        <v>15.4636</v>
      </c>
      <c r="L74" s="2">
        <f t="shared" si="3"/>
        <v>0</v>
      </c>
      <c r="M74" s="2">
        <f t="shared" si="4"/>
        <v>0</v>
      </c>
      <c r="N74" s="6"/>
      <c r="O74" s="6"/>
      <c r="P74" s="6"/>
    </row>
    <row r="75" spans="7:16" ht="14.25">
      <c r="G75" s="1"/>
      <c r="H75" s="1"/>
      <c r="I75" s="1"/>
      <c r="J75" s="6"/>
      <c r="K75" s="2">
        <f>((J$30/100)*(M$7+Q$9*40))+Q$7</f>
        <v>15.652000000000001</v>
      </c>
      <c r="L75" s="2">
        <f t="shared" si="3"/>
        <v>0</v>
      </c>
      <c r="M75" s="2">
        <f t="shared" si="4"/>
        <v>0</v>
      </c>
      <c r="N75" s="6"/>
      <c r="O75" s="6"/>
      <c r="P75" s="6"/>
    </row>
    <row r="76" spans="7:16" ht="14.25">
      <c r="G76" s="1"/>
      <c r="H76" s="1"/>
      <c r="I76" s="1"/>
      <c r="J76" s="6"/>
      <c r="K76" s="2">
        <f>((J$30/100)*(M$7+Q$9*41))+Q$7</f>
        <v>15.840399999999999</v>
      </c>
      <c r="L76" s="2">
        <f t="shared" si="3"/>
        <v>0</v>
      </c>
      <c r="M76" s="2">
        <f t="shared" si="4"/>
        <v>0</v>
      </c>
      <c r="N76" s="6"/>
      <c r="O76" s="6"/>
      <c r="P76" s="6"/>
    </row>
    <row r="77" spans="7:16" ht="14.25">
      <c r="G77" s="1"/>
      <c r="H77" s="1"/>
      <c r="I77" s="1"/>
      <c r="J77" s="6"/>
      <c r="K77" s="2">
        <f>((J$30/100)*(M$7+Q$9*42))+Q$7</f>
        <v>16.0288</v>
      </c>
      <c r="L77" s="2">
        <f t="shared" si="3"/>
        <v>0</v>
      </c>
      <c r="M77" s="2">
        <f t="shared" si="4"/>
        <v>0</v>
      </c>
      <c r="N77" s="6"/>
      <c r="O77" s="6"/>
      <c r="P77" s="6"/>
    </row>
    <row r="78" spans="7:16" ht="14.25">
      <c r="G78" s="1"/>
      <c r="H78" s="1"/>
      <c r="I78" s="1"/>
      <c r="J78" s="6"/>
      <c r="K78" s="2">
        <f>((J$30/100)*(M$7+Q$9*43))+Q$7</f>
        <v>16.217199999999998</v>
      </c>
      <c r="L78" s="2">
        <f t="shared" si="3"/>
        <v>0</v>
      </c>
      <c r="M78" s="2">
        <f t="shared" si="4"/>
        <v>0</v>
      </c>
      <c r="N78" s="6"/>
      <c r="O78" s="6"/>
      <c r="P78" s="6"/>
    </row>
    <row r="79" spans="7:16" ht="14.25">
      <c r="G79" s="1"/>
      <c r="H79" s="1"/>
      <c r="I79" s="1"/>
      <c r="J79" s="6"/>
      <c r="K79" s="2">
        <f>((J$30/100)*(M$7+Q$9*44))+Q$7</f>
        <v>16.4056</v>
      </c>
      <c r="L79" s="2">
        <f t="shared" si="3"/>
        <v>0</v>
      </c>
      <c r="M79" s="2">
        <f t="shared" si="4"/>
        <v>0</v>
      </c>
      <c r="N79" s="6"/>
      <c r="O79" s="6"/>
      <c r="P79" s="6"/>
    </row>
    <row r="80" spans="7:16" ht="14.25">
      <c r="G80" s="1"/>
      <c r="H80" s="1"/>
      <c r="I80" s="1"/>
      <c r="J80" s="6"/>
      <c r="K80" s="2">
        <f>((J$30/100)*(M$7+Q$9*45))+Q$7</f>
        <v>16.594000000000001</v>
      </c>
      <c r="L80" s="2">
        <f t="shared" si="3"/>
        <v>0</v>
      </c>
      <c r="M80" s="2">
        <f t="shared" si="4"/>
        <v>0</v>
      </c>
      <c r="N80" s="6"/>
      <c r="O80" s="6"/>
      <c r="P80" s="6"/>
    </row>
    <row r="81" spans="7:16" ht="14.25">
      <c r="G81" s="1"/>
      <c r="H81" s="1"/>
      <c r="I81" s="1"/>
      <c r="J81" s="6"/>
      <c r="K81" s="2">
        <f>((J$30/100)*(M$7+Q$9*46))+Q$7</f>
        <v>16.782400000000003</v>
      </c>
      <c r="L81" s="2">
        <f t="shared" si="3"/>
        <v>0</v>
      </c>
      <c r="M81" s="2">
        <f t="shared" si="4"/>
        <v>0</v>
      </c>
      <c r="N81" s="6"/>
      <c r="O81" s="6"/>
      <c r="P81" s="6"/>
    </row>
    <row r="82" spans="7:16" ht="14.25">
      <c r="G82" s="1"/>
      <c r="H82" s="1"/>
      <c r="I82" s="1"/>
      <c r="J82" s="6"/>
      <c r="K82" s="2">
        <f>((J$30/100)*(M$7+Q$9*47))+Q$7</f>
        <v>16.970800000000001</v>
      </c>
      <c r="L82" s="2">
        <f t="shared" si="3"/>
        <v>0</v>
      </c>
      <c r="M82" s="2">
        <f t="shared" si="4"/>
        <v>0</v>
      </c>
      <c r="N82" s="6"/>
      <c r="O82" s="6"/>
      <c r="P82" s="6"/>
    </row>
    <row r="83" spans="7:16" ht="14.25">
      <c r="G83" s="1"/>
      <c r="H83" s="1"/>
      <c r="I83" s="1"/>
      <c r="J83" s="6"/>
      <c r="K83" s="2">
        <f>((J$30/100)*(M$7+Q$9*48))+Q$7</f>
        <v>17.159199999999998</v>
      </c>
      <c r="L83" s="2">
        <f t="shared" si="3"/>
        <v>0</v>
      </c>
      <c r="M83" s="2">
        <f t="shared" si="4"/>
        <v>0</v>
      </c>
      <c r="N83" s="6"/>
      <c r="O83" s="6"/>
      <c r="P83" s="6"/>
    </row>
    <row r="84" spans="7:16" ht="14.25">
      <c r="G84" s="1"/>
      <c r="H84" s="1"/>
      <c r="I84" s="1"/>
      <c r="J84" s="6"/>
      <c r="K84" s="2">
        <f>((J$30/100)*(M$7+Q$9*49))+Q$7</f>
        <v>17.3476</v>
      </c>
      <c r="L84" s="2">
        <f t="shared" si="3"/>
        <v>0</v>
      </c>
      <c r="M84" s="2">
        <f t="shared" si="4"/>
        <v>0</v>
      </c>
      <c r="N84" s="6"/>
      <c r="O84" s="6"/>
      <c r="P84" s="6"/>
    </row>
    <row r="85" spans="7:16" ht="14.25">
      <c r="G85" s="1"/>
      <c r="H85" s="1"/>
      <c r="I85" s="1"/>
      <c r="J85" s="6"/>
      <c r="K85" s="2">
        <f>((J$30/100)*(M$7+Q$9*50))+Q$7</f>
        <v>17.536000000000001</v>
      </c>
      <c r="L85" s="2">
        <f t="shared" si="3"/>
        <v>0</v>
      </c>
      <c r="M85" s="2">
        <f t="shared" si="4"/>
        <v>0</v>
      </c>
      <c r="N85" s="6"/>
      <c r="O85" s="6"/>
      <c r="P85" s="6"/>
    </row>
    <row r="86" spans="7:16" ht="14.25">
      <c r="G86" s="1"/>
      <c r="H86" s="1"/>
      <c r="I86" s="1"/>
      <c r="J86" s="6"/>
      <c r="K86" s="2">
        <f>((J$30/100)*(M$7+Q$9*51))+Q$7</f>
        <v>17.724399999999999</v>
      </c>
      <c r="L86" s="2">
        <f t="shared" si="3"/>
        <v>0</v>
      </c>
      <c r="M86" s="2">
        <f t="shared" si="4"/>
        <v>0</v>
      </c>
      <c r="N86" s="6"/>
      <c r="O86" s="6"/>
      <c r="P86" s="6"/>
    </row>
    <row r="87" spans="7:16" ht="14.25">
      <c r="G87" s="1"/>
      <c r="H87" s="1"/>
      <c r="I87" s="1"/>
      <c r="J87" s="6"/>
      <c r="K87" s="2">
        <f>((J$30/100)*(M$7+Q$9*52))+Q$7</f>
        <v>17.912799999999997</v>
      </c>
      <c r="L87" s="2">
        <f t="shared" si="3"/>
        <v>0</v>
      </c>
      <c r="M87" s="2">
        <f t="shared" si="4"/>
        <v>0</v>
      </c>
      <c r="N87" s="6"/>
      <c r="O87" s="6"/>
      <c r="P87" s="6"/>
    </row>
    <row r="88" spans="7:16" ht="14.25">
      <c r="G88" s="1"/>
      <c r="H88" s="1"/>
      <c r="I88" s="1"/>
      <c r="J88" s="6"/>
      <c r="K88" s="2">
        <f>((J$30/100)*(M$7+Q$9*53))+Q$7</f>
        <v>18.101199999999999</v>
      </c>
      <c r="L88" s="2">
        <f t="shared" si="3"/>
        <v>0</v>
      </c>
      <c r="M88" s="2">
        <f t="shared" si="4"/>
        <v>0</v>
      </c>
      <c r="N88" s="6"/>
      <c r="O88" s="6"/>
      <c r="P88" s="6"/>
    </row>
    <row r="89" spans="7:16" ht="14.25">
      <c r="G89" s="1"/>
      <c r="H89" s="1"/>
      <c r="I89" s="1"/>
      <c r="J89" s="6"/>
      <c r="K89" s="2">
        <f>((J$30/100)*(M$7+Q$9*54))+Q$7</f>
        <v>18.2896</v>
      </c>
      <c r="L89" s="2">
        <f t="shared" si="3"/>
        <v>0</v>
      </c>
      <c r="M89" s="2">
        <f t="shared" si="4"/>
        <v>0</v>
      </c>
      <c r="N89" s="6"/>
      <c r="O89" s="6"/>
      <c r="P89" s="6"/>
    </row>
    <row r="90" spans="7:16" ht="14.25">
      <c r="G90" s="1"/>
      <c r="H90" s="1"/>
      <c r="I90" s="1"/>
      <c r="J90" s="6"/>
      <c r="K90" s="2">
        <f>((J$30/100)*(M$7+Q$9*55))+Q$7</f>
        <v>18.478000000000002</v>
      </c>
      <c r="L90" s="2">
        <f t="shared" si="3"/>
        <v>0</v>
      </c>
      <c r="M90" s="2">
        <f t="shared" si="4"/>
        <v>0</v>
      </c>
      <c r="N90" s="6"/>
      <c r="O90" s="6"/>
      <c r="P90" s="6"/>
    </row>
    <row r="91" spans="7:16" ht="14.25">
      <c r="G91" s="1"/>
      <c r="H91" s="1"/>
      <c r="I91" s="1"/>
      <c r="J91" s="6"/>
      <c r="K91" s="2">
        <f>((J$30/100)*(M$7+Q$9*56))+Q$7</f>
        <v>18.666399999999999</v>
      </c>
      <c r="L91" s="2">
        <f t="shared" si="3"/>
        <v>0</v>
      </c>
      <c r="M91" s="2">
        <f t="shared" si="4"/>
        <v>0</v>
      </c>
      <c r="N91" s="6"/>
      <c r="O91" s="6"/>
      <c r="P91" s="6"/>
    </row>
    <row r="92" spans="7:16" ht="14.25">
      <c r="G92" s="1"/>
      <c r="H92" s="1"/>
      <c r="I92" s="1"/>
      <c r="J92" s="6"/>
      <c r="K92" s="2">
        <f>((J$30/100)*(M$7+Q$9*57))+Q$7</f>
        <v>18.854799999999997</v>
      </c>
      <c r="L92" s="2">
        <f t="shared" si="3"/>
        <v>0</v>
      </c>
      <c r="M92" s="2">
        <f t="shared" si="4"/>
        <v>0</v>
      </c>
      <c r="N92" s="6"/>
      <c r="O92" s="6"/>
      <c r="P92" s="6"/>
    </row>
    <row r="93" spans="7:16" ht="14.25">
      <c r="G93" s="1"/>
      <c r="H93" s="1"/>
      <c r="I93" s="1"/>
      <c r="J93" s="6"/>
      <c r="K93" s="2">
        <f>((J$30/100)*(M$7+Q$9*58))+Q$7</f>
        <v>19.043199999999999</v>
      </c>
      <c r="L93" s="2">
        <f t="shared" si="3"/>
        <v>0</v>
      </c>
      <c r="M93" s="2">
        <f t="shared" si="4"/>
        <v>0</v>
      </c>
      <c r="N93" s="6"/>
      <c r="O93" s="6"/>
      <c r="P93" s="6"/>
    </row>
    <row r="94" spans="7:16" ht="14.25">
      <c r="G94" s="1"/>
      <c r="H94" s="1"/>
      <c r="I94" s="1"/>
      <c r="J94" s="6"/>
      <c r="K94" s="2">
        <f>((J$30/100)*(M$7+Q$9*59))+Q$7</f>
        <v>19.2316</v>
      </c>
      <c r="L94" s="2">
        <f t="shared" si="3"/>
        <v>0</v>
      </c>
      <c r="M94" s="2">
        <f t="shared" si="4"/>
        <v>0</v>
      </c>
      <c r="N94" s="6"/>
      <c r="O94" s="6"/>
      <c r="P94" s="6"/>
    </row>
    <row r="95" spans="7:16" ht="14.25">
      <c r="G95" s="1"/>
      <c r="H95" s="1"/>
      <c r="I95" s="1"/>
      <c r="J95" s="6"/>
      <c r="K95" s="2">
        <f>((J$30/100)*(M$7+Q$9*60))+Q$7</f>
        <v>19.420000000000002</v>
      </c>
      <c r="L95" s="2">
        <f t="shared" si="3"/>
        <v>0</v>
      </c>
      <c r="M95" s="2">
        <f t="shared" si="4"/>
        <v>0</v>
      </c>
      <c r="N95" s="6"/>
      <c r="O95" s="6"/>
      <c r="P95" s="6"/>
    </row>
    <row r="96" spans="7:16" ht="14.25">
      <c r="G96" s="1"/>
      <c r="H96" s="1"/>
      <c r="I96" s="1"/>
      <c r="J96" s="6"/>
      <c r="K96" s="6"/>
      <c r="L96" s="6"/>
      <c r="M96" s="6"/>
      <c r="N96" s="6"/>
      <c r="O96" s="6"/>
      <c r="P96" s="6"/>
    </row>
    <row r="97" spans="7:16" ht="14.25">
      <c r="G97" s="1"/>
      <c r="H97" s="1"/>
      <c r="I97" s="1"/>
      <c r="J97" s="6"/>
      <c r="K97" s="6"/>
      <c r="L97" s="2">
        <f>(SUM(L35:L95))*Q9</f>
        <v>93.858996000000005</v>
      </c>
      <c r="M97" s="6"/>
      <c r="N97" s="6"/>
      <c r="O97" s="6"/>
      <c r="P97" s="6"/>
    </row>
    <row r="98" spans="7:16" ht="14.25">
      <c r="G98" s="1"/>
      <c r="H98" s="1"/>
      <c r="I98" s="1"/>
      <c r="J98" s="1"/>
      <c r="K98" s="1"/>
      <c r="L98" s="1"/>
      <c r="M98" s="1"/>
      <c r="N98" s="1"/>
      <c r="O98" s="1"/>
      <c r="P98" s="1"/>
    </row>
    <row r="105" spans="5:21" ht="14.25">
      <c r="E105" s="6">
        <f>L35</f>
        <v>8.1159999999999997</v>
      </c>
      <c r="F105" s="6">
        <f>L36</f>
        <v>8.3044000000000011</v>
      </c>
      <c r="G105" s="6">
        <f>L37</f>
        <v>8.4928000000000008</v>
      </c>
      <c r="H105" s="6">
        <f>L38</f>
        <v>8.6812000000000005</v>
      </c>
      <c r="I105" s="6">
        <f>L39</f>
        <v>8.8696000000000002</v>
      </c>
      <c r="J105" s="6">
        <f>L40</f>
        <v>9.0579999999999998</v>
      </c>
      <c r="K105" s="6">
        <f>L41</f>
        <v>9.2463999999999995</v>
      </c>
      <c r="L105" s="6">
        <f>L42</f>
        <v>9.4347999999999992</v>
      </c>
      <c r="M105" s="6">
        <f>L43</f>
        <v>9.6232000000000006</v>
      </c>
      <c r="N105" s="6">
        <f>L45</f>
        <v>10</v>
      </c>
      <c r="O105" s="6">
        <f>L46</f>
        <v>0</v>
      </c>
      <c r="P105" s="6">
        <f>L47</f>
        <v>0</v>
      </c>
      <c r="Q105" s="6">
        <f>L48</f>
        <v>0</v>
      </c>
      <c r="R105" s="6">
        <f>L49</f>
        <v>0</v>
      </c>
      <c r="S105" s="6">
        <f>L50</f>
        <v>0</v>
      </c>
      <c r="T105" s="6">
        <f>L51</f>
        <v>0</v>
      </c>
      <c r="U105" s="6">
        <f>L52</f>
        <v>0</v>
      </c>
    </row>
    <row r="106" spans="5:21" ht="14.25">
      <c r="E106" s="6">
        <f>L53</f>
        <v>0</v>
      </c>
      <c r="F106" s="6">
        <f>L54</f>
        <v>0</v>
      </c>
      <c r="G106" s="6">
        <f>L55</f>
        <v>0</v>
      </c>
      <c r="H106" s="6">
        <f>L56</f>
        <v>0</v>
      </c>
      <c r="I106" s="6">
        <f>L57</f>
        <v>0</v>
      </c>
      <c r="J106" s="6">
        <f>L58</f>
        <v>0</v>
      </c>
      <c r="K106" s="6">
        <f>L59</f>
        <v>0</v>
      </c>
      <c r="L106" s="6">
        <f>L60</f>
        <v>0</v>
      </c>
      <c r="M106" s="6">
        <f>L61</f>
        <v>0</v>
      </c>
      <c r="N106" s="6">
        <f>L62</f>
        <v>0</v>
      </c>
      <c r="O106" s="6">
        <f>L63</f>
        <v>0</v>
      </c>
      <c r="P106" s="6">
        <f>L64</f>
        <v>0</v>
      </c>
      <c r="Q106" s="6">
        <f>L65</f>
        <v>0</v>
      </c>
      <c r="R106" s="6">
        <f>L66</f>
        <v>0</v>
      </c>
      <c r="S106" s="6">
        <f>L67</f>
        <v>0</v>
      </c>
      <c r="T106" s="6">
        <f>L68</f>
        <v>0</v>
      </c>
      <c r="U106" s="6">
        <f>L69</f>
        <v>0</v>
      </c>
    </row>
    <row r="107" spans="5:21" ht="14.25">
      <c r="E107" s="6"/>
      <c r="F107" s="6"/>
      <c r="G107" s="6"/>
      <c r="H107" s="6"/>
      <c r="I107" s="6"/>
      <c r="J107" s="6"/>
      <c r="K107" s="6"/>
      <c r="L107" s="6"/>
      <c r="M107" s="6"/>
      <c r="N107" s="6"/>
      <c r="O107" s="6"/>
      <c r="P107" s="6"/>
      <c r="Q107" s="6"/>
      <c r="R107" s="6"/>
      <c r="S107" s="6"/>
      <c r="T107" s="6"/>
      <c r="U107" s="6"/>
    </row>
    <row r="108" spans="5:21" ht="14.25">
      <c r="E108" s="6">
        <f>ROUND(E105,2)</f>
        <v>8.1199999999999992</v>
      </c>
      <c r="F108" s="6">
        <f t="shared" si="5" ref="F108:U109">ROUND(F105,2)</f>
        <v>8.3000000000000007</v>
      </c>
      <c r="G108" s="6">
        <f t="shared" si="5"/>
        <v>8.4900000000000002</v>
      </c>
      <c r="H108" s="6">
        <f t="shared" si="5"/>
        <v>8.6799999999999997</v>
      </c>
      <c r="I108" s="6">
        <f t="shared" si="5"/>
        <v>8.8699999999999992</v>
      </c>
      <c r="J108" s="6">
        <f t="shared" si="5"/>
        <v>9.0600000000000005</v>
      </c>
      <c r="K108" s="6">
        <f t="shared" si="5"/>
        <v>9.25</v>
      </c>
      <c r="L108" s="6">
        <f t="shared" si="5"/>
        <v>9.4299999999999997</v>
      </c>
      <c r="M108" s="6">
        <f t="shared" si="5"/>
        <v>9.6199999999999992</v>
      </c>
      <c r="N108" s="6">
        <f t="shared" si="5"/>
        <v>10</v>
      </c>
      <c r="O108" s="6">
        <f t="shared" si="5"/>
        <v>0</v>
      </c>
      <c r="P108" s="6">
        <f t="shared" si="5"/>
        <v>0</v>
      </c>
      <c r="Q108" s="6">
        <f t="shared" si="5"/>
        <v>0</v>
      </c>
      <c r="R108" s="6">
        <f t="shared" si="5"/>
        <v>0</v>
      </c>
      <c r="S108" s="6">
        <f t="shared" si="5"/>
        <v>0</v>
      </c>
      <c r="T108" s="6">
        <f t="shared" si="5"/>
        <v>0</v>
      </c>
      <c r="U108" s="6">
        <f t="shared" si="5"/>
        <v>0</v>
      </c>
    </row>
    <row r="109" spans="5:21" ht="14.25">
      <c r="E109" s="6">
        <f>ROUND(E106,2)</f>
        <v>0</v>
      </c>
      <c r="F109" s="6">
        <f t="shared" si="5"/>
        <v>0</v>
      </c>
      <c r="G109" s="6">
        <f t="shared" si="5"/>
        <v>0</v>
      </c>
      <c r="H109" s="6">
        <f t="shared" si="5"/>
        <v>0</v>
      </c>
      <c r="I109" s="6">
        <f t="shared" si="5"/>
        <v>0</v>
      </c>
      <c r="J109" s="6">
        <f t="shared" si="5"/>
        <v>0</v>
      </c>
      <c r="K109" s="6">
        <f t="shared" si="5"/>
        <v>0</v>
      </c>
      <c r="L109" s="6">
        <f t="shared" si="5"/>
        <v>0</v>
      </c>
      <c r="M109" s="6">
        <f t="shared" si="5"/>
        <v>0</v>
      </c>
      <c r="N109" s="6">
        <f t="shared" si="5"/>
        <v>0</v>
      </c>
      <c r="O109" s="6">
        <f t="shared" si="5"/>
        <v>0</v>
      </c>
      <c r="P109" s="6">
        <f t="shared" si="5"/>
        <v>0</v>
      </c>
      <c r="Q109" s="6">
        <f t="shared" si="5"/>
        <v>0</v>
      </c>
      <c r="R109" s="6">
        <f t="shared" si="5"/>
        <v>0</v>
      </c>
      <c r="S109" s="6">
        <f t="shared" si="5"/>
        <v>0</v>
      </c>
      <c r="T109" s="6">
        <f t="shared" si="5"/>
        <v>0</v>
      </c>
      <c r="U109" s="6">
        <f t="shared" si="5"/>
        <v>0</v>
      </c>
    </row>
  </sheetData>
  <sheetProtection password="9AF5" sheet="1" objects="1" scenarios="1" selectLockedCells="1"/>
  <mergeCells count="35">
    <mergeCell ref="M3:N3"/>
    <mergeCell ref="P3:U4"/>
    <mergeCell ref="M5:P5"/>
    <mergeCell ref="N6:P6"/>
    <mergeCell ref="R6:T6"/>
    <mergeCell ref="M4:O4"/>
    <mergeCell ref="U5:U20"/>
    <mergeCell ref="Q5:T5"/>
    <mergeCell ref="N13:P13"/>
    <mergeCell ref="R13:T13"/>
    <mergeCell ref="N15:P15"/>
    <mergeCell ref="R14:T14"/>
    <mergeCell ref="R8:T8"/>
    <mergeCell ref="R12:T12"/>
    <mergeCell ref="R9:T9"/>
    <mergeCell ref="R10:T10"/>
    <mergeCell ref="R11:T11"/>
    <mergeCell ref="C23:U23"/>
    <mergeCell ref="W4:Z5"/>
    <mergeCell ref="R7:T7"/>
    <mergeCell ref="N8:P8"/>
    <mergeCell ref="C21:D22"/>
    <mergeCell ref="N7:P7"/>
    <mergeCell ref="N20:P20"/>
    <mergeCell ref="N12:P12"/>
    <mergeCell ref="N18:P18"/>
    <mergeCell ref="N19:P19"/>
    <mergeCell ref="N16:P16"/>
    <mergeCell ref="N11:P11"/>
    <mergeCell ref="N14:P14"/>
    <mergeCell ref="N9:P9"/>
    <mergeCell ref="N10:P10"/>
    <mergeCell ref="Q17:T20"/>
    <mergeCell ref="Q15:T16"/>
    <mergeCell ref="N17:P17"/>
  </mergeCells>
  <pageMargins left="0.25" right="0.25" top="0.75" bottom="0.75" header="0.3" footer="0.3"/>
  <pageSetup orientation="landscape" paperSize="9" r:id="rId4"/>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3</vt:i4>
      </vt:variant>
    </vt:vector>
  </HeadingPairs>
  <TitlesOfParts>
    <vt:vector size="3" baseType="lpstr">
      <vt:lpstr>سوله دو طرف شیب متقارن</vt:lpstr>
      <vt:lpstr>سوله دو طرف شیب نا متقارن</vt:lpstr>
      <vt:lpstr>سوله یک طرف شیب</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2006-09-16T00:00:00Z</dcterms:created>
  <dcterms:modified xsi:type="dcterms:W3CDTF">2018-12-20T04:55:54Z</dcterms:modified>
  <cp:category/>
</cp:coreProperties>
</file>